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HINKPAD\Downloads\fwdnominas\"/>
    </mc:Choice>
  </mc:AlternateContent>
  <xr:revisionPtr revIDLastSave="0" documentId="13_ncr:1_{8F820950-85A2-4741-9EEF-3BA670F87D6C}" xr6:coauthVersionLast="47" xr6:coauthVersionMax="47" xr10:uidLastSave="{00000000-0000-0000-0000-000000000000}"/>
  <bookViews>
    <workbookView xWindow="-120" yWindow="-120" windowWidth="29040" windowHeight="15720" tabRatio="816" firstSheet="1" activeTab="1" xr2:uid="{00000000-000D-0000-FFFF-FFFF00000000}"/>
  </bookViews>
  <sheets>
    <sheet name="tarifa" sheetId="2" state="hidden" r:id="rId1"/>
    <sheet name="REGIDORES" sheetId="215" r:id="rId2"/>
    <sheet name="BASE" sheetId="205" r:id="rId3"/>
    <sheet name="EVENTUALES" sheetId="206" r:id="rId4"/>
    <sheet name="PENSIONADOS" sheetId="214" r:id="rId5"/>
    <sheet name="Apoyos " sheetId="213" r:id="rId6"/>
    <sheet name="SEG. PUBLICA" sheetId="216" r:id="rId7"/>
    <sheet name="PROT.CIVIL" sheetId="217" r:id="rId8"/>
  </sheets>
  <definedNames>
    <definedName name="_xlnm._FilterDatabase" localSheetId="2" hidden="1">BASE!$G$8:$G$104</definedName>
    <definedName name="_xlnm._FilterDatabase" localSheetId="6" hidden="1">'SEG. PUBLICA'!$F$1:$F$52</definedName>
    <definedName name="_xlnm.Print_Area" localSheetId="5">'Apoyos '!$A$32:$AK$61</definedName>
    <definedName name="_xlnm.Print_Area" localSheetId="2">BASE!$B$1:$N$97</definedName>
    <definedName name="_xlnm.Print_Area" localSheetId="4">PENSIONADOS!$B$1:$AK$35</definedName>
    <definedName name="_xlnm.Print_Area" localSheetId="7">PROT.CIVIL!$B$2:$N$33</definedName>
    <definedName name="_xlnm.Print_Area" localSheetId="1">REGIDORES!$B$1:$O$25</definedName>
    <definedName name="_xlnm.Print_Area" localSheetId="6">'SEG. PUBLICA'!$B$1:$N$40</definedName>
    <definedName name="SUBSIDIO">tarifa!$F$13:$G$23</definedName>
    <definedName name="TARIFA">tarifa!$B$13:$D$23</definedName>
    <definedName name="_xlnm.Print_Titles" localSheetId="2">BASE!$1:$5</definedName>
    <definedName name="_xlnm.Print_Titles" localSheetId="3">EVENTUALES!$2:$7</definedName>
    <definedName name="_xlnm.Print_Titles" localSheetId="6">'SEG. PUBLICA'!$2:$7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9" i="206" l="1"/>
  <c r="K69" i="206" s="1"/>
  <c r="L69" i="206" s="1"/>
  <c r="J69" i="206" l="1"/>
  <c r="M69" i="206" l="1"/>
  <c r="I35" i="216"/>
  <c r="J35" i="216" s="1"/>
  <c r="I88" i="205"/>
  <c r="K88" i="205" s="1"/>
  <c r="L88" i="205" s="1"/>
  <c r="K35" i="216" l="1"/>
  <c r="L35" i="216" s="1"/>
  <c r="M35" i="216" s="1"/>
  <c r="J88" i="205"/>
  <c r="M88" i="205" s="1"/>
  <c r="K58" i="206" l="1"/>
  <c r="L58" i="206" s="1"/>
  <c r="I58" i="206"/>
  <c r="J58" i="206" s="1"/>
  <c r="K42" i="206"/>
  <c r="L42" i="206" s="1"/>
  <c r="I42" i="206"/>
  <c r="K34" i="206"/>
  <c r="L34" i="206" s="1"/>
  <c r="I34" i="206"/>
  <c r="K112" i="206"/>
  <c r="L112" i="206" s="1"/>
  <c r="I112" i="206"/>
  <c r="J112" i="206" s="1"/>
  <c r="M58" i="206" l="1"/>
  <c r="J42" i="206"/>
  <c r="M42" i="206" s="1"/>
  <c r="J34" i="206"/>
  <c r="M112" i="206"/>
  <c r="M34" i="206" l="1"/>
  <c r="L20" i="215" l="1"/>
  <c r="I34" i="216"/>
  <c r="J34" i="216" s="1"/>
  <c r="I33" i="216"/>
  <c r="K33" i="216" s="1"/>
  <c r="L33" i="216" s="1"/>
  <c r="K60" i="206"/>
  <c r="I60" i="206"/>
  <c r="N97" i="205"/>
  <c r="K34" i="216" l="1"/>
  <c r="L34" i="216" s="1"/>
  <c r="M34" i="216" s="1"/>
  <c r="J33" i="216"/>
  <c r="M33" i="216" s="1"/>
  <c r="J60" i="206"/>
  <c r="M60" i="206" s="1"/>
  <c r="I32" i="216"/>
  <c r="K32" i="216" s="1"/>
  <c r="L32" i="216" s="1"/>
  <c r="I12" i="217"/>
  <c r="I17" i="206"/>
  <c r="J17" i="206" s="1"/>
  <c r="N43" i="206"/>
  <c r="I24" i="217"/>
  <c r="K41" i="206"/>
  <c r="L41" i="206" s="1"/>
  <c r="I41" i="206"/>
  <c r="I12" i="215"/>
  <c r="K12" i="215" s="1"/>
  <c r="M12" i="215" s="1"/>
  <c r="N12" i="215" s="1"/>
  <c r="J32" i="216" l="1"/>
  <c r="M32" i="216" s="1"/>
  <c r="K12" i="217"/>
  <c r="L12" i="217" s="1"/>
  <c r="K17" i="206"/>
  <c r="L17" i="206" s="1"/>
  <c r="M17" i="206" s="1"/>
  <c r="J41" i="206"/>
  <c r="M41" i="206" s="1"/>
  <c r="I9" i="216"/>
  <c r="I10" i="216"/>
  <c r="I11" i="216"/>
  <c r="I12" i="216"/>
  <c r="I13" i="216"/>
  <c r="I14" i="216"/>
  <c r="I15" i="216"/>
  <c r="I16" i="216"/>
  <c r="I17" i="216"/>
  <c r="I18" i="216"/>
  <c r="I19" i="216"/>
  <c r="I20" i="216"/>
  <c r="I21" i="216"/>
  <c r="I22" i="216"/>
  <c r="I23" i="216"/>
  <c r="I24" i="216"/>
  <c r="I25" i="216"/>
  <c r="I26" i="216"/>
  <c r="I27" i="216"/>
  <c r="I28" i="216"/>
  <c r="I29" i="216"/>
  <c r="I30" i="216"/>
  <c r="I31" i="216"/>
  <c r="I36" i="216"/>
  <c r="I25" i="217"/>
  <c r="I26" i="217"/>
  <c r="I27" i="217"/>
  <c r="I28" i="217"/>
  <c r="I29" i="217"/>
  <c r="I17" i="214"/>
  <c r="I18" i="214"/>
  <c r="I19" i="214"/>
  <c r="I20" i="214"/>
  <c r="I21" i="214"/>
  <c r="I22" i="214"/>
  <c r="I16" i="214"/>
  <c r="I24" i="214" s="1"/>
  <c r="I133" i="206"/>
  <c r="I134" i="206"/>
  <c r="I135" i="206"/>
  <c r="I132" i="206"/>
  <c r="I111" i="206"/>
  <c r="I113" i="206"/>
  <c r="I114" i="206"/>
  <c r="I115" i="206"/>
  <c r="I116" i="206"/>
  <c r="I117" i="206"/>
  <c r="I118" i="206"/>
  <c r="I119" i="206"/>
  <c r="I120" i="206"/>
  <c r="I121" i="206"/>
  <c r="I57" i="206"/>
  <c r="I53" i="205"/>
  <c r="I50" i="205"/>
  <c r="I47" i="205"/>
  <c r="I46" i="205"/>
  <c r="I43" i="205"/>
  <c r="I42" i="205"/>
  <c r="I39" i="205"/>
  <c r="I40" i="205" s="1"/>
  <c r="I35" i="205"/>
  <c r="I36" i="205"/>
  <c r="I34" i="205"/>
  <c r="I31" i="205"/>
  <c r="I30" i="205"/>
  <c r="I24" i="205"/>
  <c r="I25" i="205"/>
  <c r="I26" i="205"/>
  <c r="I27" i="205"/>
  <c r="I23" i="205"/>
  <c r="I28" i="205" s="1"/>
  <c r="I20" i="205"/>
  <c r="I19" i="205"/>
  <c r="I21" i="205" s="1"/>
  <c r="I16" i="205"/>
  <c r="I13" i="205"/>
  <c r="I12" i="205"/>
  <c r="I11" i="205"/>
  <c r="I10" i="205"/>
  <c r="I44" i="205" l="1"/>
  <c r="I136" i="206"/>
  <c r="I37" i="205"/>
  <c r="I32" i="205"/>
  <c r="I48" i="205"/>
  <c r="M12" i="217"/>
  <c r="I9" i="205"/>
  <c r="I14" i="205" s="1"/>
  <c r="J13" i="205"/>
  <c r="K13" i="205" l="1"/>
  <c r="L13" i="205" s="1"/>
  <c r="M13" i="205" s="1"/>
  <c r="K9" i="205"/>
  <c r="J9" i="205"/>
  <c r="K25" i="217" l="1"/>
  <c r="K36" i="216"/>
  <c r="K17" i="216"/>
  <c r="K135" i="206"/>
  <c r="K134" i="206"/>
  <c r="K133" i="206"/>
  <c r="K132" i="206"/>
  <c r="K129" i="206"/>
  <c r="K128" i="206"/>
  <c r="K127" i="206"/>
  <c r="K125" i="206"/>
  <c r="K124" i="206"/>
  <c r="K121" i="206"/>
  <c r="K120" i="206"/>
  <c r="K119" i="206"/>
  <c r="K118" i="206"/>
  <c r="K117" i="206"/>
  <c r="K116" i="206"/>
  <c r="K115" i="206"/>
  <c r="K114" i="206"/>
  <c r="K113" i="206"/>
  <c r="K111" i="206"/>
  <c r="K110" i="206"/>
  <c r="K109" i="206"/>
  <c r="K108" i="206"/>
  <c r="K105" i="206"/>
  <c r="K104" i="206"/>
  <c r="K103" i="206"/>
  <c r="K102" i="206"/>
  <c r="K101" i="206"/>
  <c r="K100" i="206"/>
  <c r="K99" i="206"/>
  <c r="K98" i="206"/>
  <c r="K97" i="206"/>
  <c r="K96" i="206"/>
  <c r="K94" i="206"/>
  <c r="K93" i="206"/>
  <c r="K92" i="206"/>
  <c r="K89" i="206"/>
  <c r="K88" i="206"/>
  <c r="K87" i="206"/>
  <c r="K86" i="206"/>
  <c r="K85" i="206"/>
  <c r="K82" i="206"/>
  <c r="K78" i="206"/>
  <c r="K75" i="206"/>
  <c r="K74" i="206"/>
  <c r="K73" i="206"/>
  <c r="K72" i="206"/>
  <c r="K71" i="206"/>
  <c r="K70" i="206"/>
  <c r="K64" i="206"/>
  <c r="K63" i="206"/>
  <c r="K59" i="206"/>
  <c r="K57" i="206"/>
  <c r="K56" i="206"/>
  <c r="K55" i="206"/>
  <c r="K54" i="206"/>
  <c r="K53" i="206"/>
  <c r="K52" i="206"/>
  <c r="K51" i="206"/>
  <c r="K50" i="206"/>
  <c r="K49" i="206"/>
  <c r="K48" i="206"/>
  <c r="K47" i="206"/>
  <c r="K46" i="206"/>
  <c r="K45" i="206"/>
  <c r="K40" i="206"/>
  <c r="K39" i="206"/>
  <c r="K38" i="206"/>
  <c r="K37" i="206"/>
  <c r="K32" i="206"/>
  <c r="K31" i="206"/>
  <c r="K30" i="206"/>
  <c r="K15" i="206"/>
  <c r="K14" i="206"/>
  <c r="K13" i="206"/>
  <c r="K12" i="206"/>
  <c r="K11" i="206"/>
  <c r="K10" i="205"/>
  <c r="K83" i="205"/>
  <c r="K82" i="205"/>
  <c r="K73" i="205"/>
  <c r="K69" i="205"/>
  <c r="K68" i="205"/>
  <c r="K60" i="205"/>
  <c r="K58" i="205"/>
  <c r="K53" i="205"/>
  <c r="K47" i="205"/>
  <c r="K43" i="205"/>
  <c r="K35" i="205"/>
  <c r="K31" i="205"/>
  <c r="K27" i="205"/>
  <c r="K26" i="205"/>
  <c r="K25" i="205"/>
  <c r="K16" i="205"/>
  <c r="K12" i="205"/>
  <c r="K43" i="206" l="1"/>
  <c r="K90" i="206"/>
  <c r="J10" i="205"/>
  <c r="L10" i="205"/>
  <c r="K29" i="217"/>
  <c r="L29" i="217" s="1"/>
  <c r="K27" i="217"/>
  <c r="K24" i="217"/>
  <c r="I23" i="217"/>
  <c r="K23" i="217" s="1"/>
  <c r="I22" i="217"/>
  <c r="K22" i="217" s="1"/>
  <c r="L22" i="217" s="1"/>
  <c r="I21" i="217"/>
  <c r="I20" i="217"/>
  <c r="I19" i="217"/>
  <c r="K19" i="217" s="1"/>
  <c r="I18" i="217"/>
  <c r="I17" i="217"/>
  <c r="I16" i="217"/>
  <c r="K16" i="217" s="1"/>
  <c r="I15" i="217"/>
  <c r="K15" i="217" s="1"/>
  <c r="I14" i="217"/>
  <c r="K14" i="217" s="1"/>
  <c r="L14" i="217" s="1"/>
  <c r="I13" i="217"/>
  <c r="I11" i="217"/>
  <c r="I10" i="217"/>
  <c r="K10" i="217" s="1"/>
  <c r="I9" i="217"/>
  <c r="I8" i="217"/>
  <c r="K8" i="217" s="1"/>
  <c r="L36" i="216"/>
  <c r="J36" i="216"/>
  <c r="J17" i="216"/>
  <c r="I8" i="216"/>
  <c r="I38" i="216" s="1"/>
  <c r="J14" i="217" l="1"/>
  <c r="J22" i="217"/>
  <c r="J23" i="217"/>
  <c r="K28" i="217"/>
  <c r="L28" i="217" s="1"/>
  <c r="K26" i="217"/>
  <c r="L26" i="217" s="1"/>
  <c r="J21" i="217"/>
  <c r="K21" i="217"/>
  <c r="L21" i="217" s="1"/>
  <c r="J13" i="217"/>
  <c r="K13" i="217"/>
  <c r="K18" i="217"/>
  <c r="L18" i="217" s="1"/>
  <c r="K20" i="217"/>
  <c r="L20" i="217" s="1"/>
  <c r="J15" i="217"/>
  <c r="M15" i="217" s="1"/>
  <c r="K17" i="217"/>
  <c r="L17" i="217" s="1"/>
  <c r="K11" i="217"/>
  <c r="L11" i="217" s="1"/>
  <c r="K9" i="217"/>
  <c r="L9" i="217" s="1"/>
  <c r="J26" i="216"/>
  <c r="K26" i="216"/>
  <c r="L26" i="216" s="1"/>
  <c r="J28" i="216"/>
  <c r="K28" i="216"/>
  <c r="L28" i="216" s="1"/>
  <c r="J29" i="216"/>
  <c r="K29" i="216"/>
  <c r="L29" i="216" s="1"/>
  <c r="J31" i="216"/>
  <c r="K31" i="216"/>
  <c r="L31" i="216" s="1"/>
  <c r="J27" i="216"/>
  <c r="K27" i="216"/>
  <c r="L27" i="216" s="1"/>
  <c r="J30" i="216"/>
  <c r="K30" i="216"/>
  <c r="L30" i="216" s="1"/>
  <c r="J25" i="216"/>
  <c r="K25" i="216"/>
  <c r="L25" i="216" s="1"/>
  <c r="J24" i="216"/>
  <c r="K24" i="216"/>
  <c r="L24" i="216" s="1"/>
  <c r="K23" i="216"/>
  <c r="L23" i="216" s="1"/>
  <c r="J23" i="216"/>
  <c r="K22" i="216"/>
  <c r="L22" i="216" s="1"/>
  <c r="J22" i="216"/>
  <c r="J21" i="216"/>
  <c r="K21" i="216"/>
  <c r="L21" i="216" s="1"/>
  <c r="K20" i="216"/>
  <c r="L20" i="216" s="1"/>
  <c r="J20" i="216"/>
  <c r="K19" i="216"/>
  <c r="L19" i="216" s="1"/>
  <c r="J19" i="216"/>
  <c r="J18" i="216"/>
  <c r="K18" i="216"/>
  <c r="L18" i="216" s="1"/>
  <c r="K16" i="216"/>
  <c r="L16" i="216" s="1"/>
  <c r="J16" i="216"/>
  <c r="K15" i="216"/>
  <c r="L15" i="216" s="1"/>
  <c r="J15" i="216"/>
  <c r="K14" i="216"/>
  <c r="L14" i="216" s="1"/>
  <c r="J14" i="216"/>
  <c r="J13" i="216"/>
  <c r="K13" i="216"/>
  <c r="L13" i="216" s="1"/>
  <c r="M13" i="216" s="1"/>
  <c r="K12" i="216"/>
  <c r="L12" i="216" s="1"/>
  <c r="J12" i="216"/>
  <c r="J11" i="216"/>
  <c r="K11" i="216"/>
  <c r="L11" i="216" s="1"/>
  <c r="K10" i="216"/>
  <c r="L10" i="216" s="1"/>
  <c r="J10" i="216"/>
  <c r="K9" i="216"/>
  <c r="L9" i="216" s="1"/>
  <c r="J9" i="216"/>
  <c r="K8" i="216"/>
  <c r="J8" i="216"/>
  <c r="I31" i="217"/>
  <c r="M36" i="216"/>
  <c r="M10" i="205"/>
  <c r="M8" i="217"/>
  <c r="L13" i="217"/>
  <c r="J17" i="217"/>
  <c r="M17" i="217" s="1"/>
  <c r="J26" i="217"/>
  <c r="M26" i="217" s="1"/>
  <c r="J18" i="217"/>
  <c r="M29" i="217"/>
  <c r="M14" i="217"/>
  <c r="M22" i="217"/>
  <c r="L15" i="217"/>
  <c r="L23" i="217"/>
  <c r="M23" i="217"/>
  <c r="L8" i="217"/>
  <c r="J27" i="217"/>
  <c r="L10" i="217"/>
  <c r="J16" i="217"/>
  <c r="L19" i="217"/>
  <c r="J24" i="217"/>
  <c r="L27" i="217"/>
  <c r="J19" i="217"/>
  <c r="L16" i="217"/>
  <c r="L24" i="217"/>
  <c r="J20" i="217"/>
  <c r="M20" i="217" s="1"/>
  <c r="M28" i="217"/>
  <c r="L17" i="216"/>
  <c r="L31" i="217" l="1"/>
  <c r="M21" i="216"/>
  <c r="M25" i="216"/>
  <c r="M18" i="216"/>
  <c r="M27" i="216"/>
  <c r="M26" i="216"/>
  <c r="J38" i="216"/>
  <c r="L8" i="216"/>
  <c r="L38" i="216" s="1"/>
  <c r="K38" i="216"/>
  <c r="M20" i="216"/>
  <c r="M24" i="216"/>
  <c r="M19" i="216"/>
  <c r="M15" i="216"/>
  <c r="M28" i="216"/>
  <c r="M11" i="216"/>
  <c r="M9" i="217"/>
  <c r="M18" i="217"/>
  <c r="M11" i="217"/>
  <c r="M31" i="217" s="1"/>
  <c r="M14" i="216"/>
  <c r="M10" i="216"/>
  <c r="M12" i="216"/>
  <c r="M16" i="216"/>
  <c r="M22" i="216"/>
  <c r="M30" i="216"/>
  <c r="M21" i="217"/>
  <c r="M13" i="217"/>
  <c r="M16" i="217"/>
  <c r="M10" i="217"/>
  <c r="M27" i="217"/>
  <c r="J31" i="217"/>
  <c r="M19" i="217"/>
  <c r="M31" i="216"/>
  <c r="M9" i="216"/>
  <c r="M23" i="216"/>
  <c r="M29" i="216"/>
  <c r="M17" i="216"/>
  <c r="M24" i="217"/>
  <c r="K31" i="217"/>
  <c r="M40" i="217" l="1"/>
  <c r="M47" i="216"/>
  <c r="M8" i="216"/>
  <c r="M43" i="217"/>
  <c r="M38" i="216" l="1"/>
  <c r="M49" i="216"/>
  <c r="M50" i="216"/>
  <c r="M52" i="216"/>
  <c r="M45" i="217"/>
  <c r="I9" i="206"/>
  <c r="J111" i="206"/>
  <c r="E42" i="215" l="1"/>
  <c r="K9" i="206"/>
  <c r="L9" i="206" s="1"/>
  <c r="J9" i="206"/>
  <c r="L129" i="206"/>
  <c r="I129" i="206"/>
  <c r="M9" i="206" l="1"/>
  <c r="J129" i="206"/>
  <c r="M129" i="206" s="1"/>
  <c r="O20" i="215" l="1"/>
  <c r="I19" i="215"/>
  <c r="K19" i="215" s="1"/>
  <c r="I18" i="215"/>
  <c r="K18" i="215" s="1"/>
  <c r="I17" i="215"/>
  <c r="I16" i="215"/>
  <c r="I15" i="215"/>
  <c r="K15" i="215" s="1"/>
  <c r="I14" i="215"/>
  <c r="I13" i="215"/>
  <c r="I11" i="215"/>
  <c r="K11" i="215" s="1"/>
  <c r="I10" i="215"/>
  <c r="L57" i="206"/>
  <c r="J57" i="206"/>
  <c r="I59" i="206"/>
  <c r="J59" i="206" s="1"/>
  <c r="K10" i="215" l="1"/>
  <c r="I20" i="215"/>
  <c r="K13" i="215"/>
  <c r="M13" i="215" s="1"/>
  <c r="N13" i="215" s="1"/>
  <c r="K17" i="215"/>
  <c r="M17" i="215" s="1"/>
  <c r="N17" i="215" s="1"/>
  <c r="K14" i="215"/>
  <c r="M14" i="215" s="1"/>
  <c r="N14" i="215" s="1"/>
  <c r="K16" i="215"/>
  <c r="M16" i="215" s="1"/>
  <c r="N16" i="215" s="1"/>
  <c r="M18" i="215"/>
  <c r="N18" i="215" s="1"/>
  <c r="M57" i="206"/>
  <c r="M15" i="215"/>
  <c r="N15" i="215" s="1"/>
  <c r="M19" i="215"/>
  <c r="N19" i="215" s="1"/>
  <c r="M59" i="206"/>
  <c r="K20" i="215" l="1"/>
  <c r="M11" i="215"/>
  <c r="N11" i="215" s="1"/>
  <c r="N32" i="215" s="1"/>
  <c r="M10" i="215"/>
  <c r="M20" i="215" s="1"/>
  <c r="N10" i="215" l="1"/>
  <c r="N31" i="215" l="1"/>
  <c r="N20" i="215"/>
  <c r="I77" i="206"/>
  <c r="L101" i="206"/>
  <c r="I101" i="206"/>
  <c r="J101" i="206" s="1"/>
  <c r="I30" i="206"/>
  <c r="J30" i="206" s="1"/>
  <c r="K77" i="206" l="1"/>
  <c r="L77" i="206" s="1"/>
  <c r="N34" i="215"/>
  <c r="J77" i="206"/>
  <c r="M101" i="206"/>
  <c r="L30" i="206"/>
  <c r="M30" i="206" s="1"/>
  <c r="L27" i="205"/>
  <c r="J27" i="205"/>
  <c r="M77" i="206" l="1"/>
  <c r="M27" i="205"/>
  <c r="N36" i="215"/>
  <c r="I76" i="206"/>
  <c r="L104" i="206"/>
  <c r="I104" i="206"/>
  <c r="J76" i="206" l="1"/>
  <c r="K76" i="206"/>
  <c r="J104" i="206"/>
  <c r="M104" i="206" s="1"/>
  <c r="L76" i="206" l="1"/>
  <c r="M76" i="206" s="1"/>
  <c r="K79" i="206"/>
  <c r="I26" i="206"/>
  <c r="N27" i="206"/>
  <c r="H66" i="213"/>
  <c r="L128" i="206"/>
  <c r="I128" i="206"/>
  <c r="J128" i="206" s="1"/>
  <c r="L49" i="206"/>
  <c r="I49" i="206"/>
  <c r="K26" i="206" l="1"/>
  <c r="L26" i="206" s="1"/>
  <c r="J26" i="206"/>
  <c r="M128" i="206"/>
  <c r="J49" i="206"/>
  <c r="M49" i="206" s="1"/>
  <c r="H69" i="213"/>
  <c r="J113" i="206"/>
  <c r="H54" i="213"/>
  <c r="M26" i="206" l="1"/>
  <c r="L13" i="206"/>
  <c r="I13" i="206"/>
  <c r="J13" i="206" s="1"/>
  <c r="L78" i="206"/>
  <c r="I78" i="206"/>
  <c r="M13" i="206" l="1"/>
  <c r="J78" i="206"/>
  <c r="M78" i="206" s="1"/>
  <c r="G49" i="213"/>
  <c r="I33" i="206" l="1"/>
  <c r="AH24" i="214"/>
  <c r="AG24" i="214"/>
  <c r="AF24" i="214"/>
  <c r="AE24" i="214"/>
  <c r="AC24" i="214"/>
  <c r="O24" i="214"/>
  <c r="N24" i="214"/>
  <c r="M24" i="214"/>
  <c r="L24" i="214"/>
  <c r="J24" i="214"/>
  <c r="R22" i="214"/>
  <c r="K22" i="214"/>
  <c r="P22" i="214" s="1"/>
  <c r="R21" i="214"/>
  <c r="K21" i="214"/>
  <c r="R20" i="214"/>
  <c r="K20" i="214"/>
  <c r="P20" i="214" s="1"/>
  <c r="R19" i="214"/>
  <c r="K19" i="214"/>
  <c r="R18" i="214"/>
  <c r="K18" i="214"/>
  <c r="R17" i="214"/>
  <c r="K17" i="214"/>
  <c r="R16" i="214"/>
  <c r="K16" i="214"/>
  <c r="P16" i="214" s="1"/>
  <c r="G53" i="213"/>
  <c r="G50" i="213"/>
  <c r="H21" i="213"/>
  <c r="G20" i="213"/>
  <c r="H16" i="213"/>
  <c r="H10" i="213"/>
  <c r="J33" i="206" l="1"/>
  <c r="K33" i="206"/>
  <c r="L33" i="206" s="1"/>
  <c r="M33" i="206" s="1"/>
  <c r="S17" i="214"/>
  <c r="U17" i="214" s="1"/>
  <c r="H22" i="213"/>
  <c r="S21" i="214"/>
  <c r="S19" i="214"/>
  <c r="S22" i="214"/>
  <c r="U22" i="214" s="1"/>
  <c r="AL9" i="213"/>
  <c r="R24" i="214"/>
  <c r="P17" i="214"/>
  <c r="S16" i="214"/>
  <c r="S18" i="214"/>
  <c r="P18" i="214"/>
  <c r="S20" i="214"/>
  <c r="P21" i="214"/>
  <c r="P19" i="214"/>
  <c r="K24" i="214"/>
  <c r="U21" i="214" l="1"/>
  <c r="W21" i="214" s="1"/>
  <c r="Y21" i="214" s="1"/>
  <c r="AA21" i="214" s="1"/>
  <c r="AD21" i="214" s="1"/>
  <c r="AI21" i="214" s="1"/>
  <c r="AJ21" i="214" s="1"/>
  <c r="U18" i="214"/>
  <c r="S24" i="214"/>
  <c r="U19" i="214"/>
  <c r="P24" i="214"/>
  <c r="W17" i="214"/>
  <c r="Y17" i="214" s="1"/>
  <c r="AA17" i="214" s="1"/>
  <c r="AD17" i="214" s="1"/>
  <c r="AI17" i="214" s="1"/>
  <c r="AJ17" i="214" s="1"/>
  <c r="W22" i="214"/>
  <c r="Y22" i="214" s="1"/>
  <c r="AA22" i="214" s="1"/>
  <c r="AD22" i="214" s="1"/>
  <c r="AI22" i="214" s="1"/>
  <c r="AJ22" i="214" s="1"/>
  <c r="U16" i="214"/>
  <c r="U20" i="214"/>
  <c r="X24" i="214"/>
  <c r="W19" i="214" l="1"/>
  <c r="Y19" i="214" s="1"/>
  <c r="AA19" i="214" s="1"/>
  <c r="AD19" i="214" s="1"/>
  <c r="AI19" i="214" s="1"/>
  <c r="AJ19" i="214" s="1"/>
  <c r="Z24" i="214"/>
  <c r="W18" i="214"/>
  <c r="Y18" i="214" s="1"/>
  <c r="AA18" i="214" s="1"/>
  <c r="AD18" i="214" s="1"/>
  <c r="AI18" i="214" s="1"/>
  <c r="AJ18" i="214" s="1"/>
  <c r="V24" i="214"/>
  <c r="W20" i="214"/>
  <c r="Y20" i="214" s="1"/>
  <c r="AA20" i="214" s="1"/>
  <c r="AD20" i="214" s="1"/>
  <c r="AI20" i="214" s="1"/>
  <c r="AJ20" i="214" s="1"/>
  <c r="U24" i="214"/>
  <c r="W16" i="214"/>
  <c r="T24" i="214"/>
  <c r="Y16" i="214" l="1"/>
  <c r="W24" i="214"/>
  <c r="Y24" i="214" l="1"/>
  <c r="AA16" i="214"/>
  <c r="AA24" i="214" l="1"/>
  <c r="AD16" i="214"/>
  <c r="AD24" i="214" l="1"/>
  <c r="AI16" i="214"/>
  <c r="AI24" i="214" l="1"/>
  <c r="AM24" i="214" s="1"/>
  <c r="AJ16" i="214"/>
  <c r="AJ24" i="214" s="1"/>
  <c r="AJ38" i="214" l="1"/>
  <c r="AJ40" i="214" l="1"/>
  <c r="L111" i="206"/>
  <c r="L113" i="206"/>
  <c r="M111" i="206" l="1"/>
  <c r="M113" i="206"/>
  <c r="I126" i="206" l="1"/>
  <c r="J115" i="206"/>
  <c r="I108" i="206"/>
  <c r="I105" i="206"/>
  <c r="J105" i="206" s="1"/>
  <c r="I97" i="206"/>
  <c r="I96" i="206"/>
  <c r="I93" i="206"/>
  <c r="I89" i="206"/>
  <c r="J89" i="206" s="1"/>
  <c r="I82" i="206"/>
  <c r="J82" i="206" s="1"/>
  <c r="I72" i="206"/>
  <c r="J72" i="206" s="1"/>
  <c r="I65" i="206"/>
  <c r="I64" i="206"/>
  <c r="J64" i="206" s="1"/>
  <c r="I52" i="206"/>
  <c r="I56" i="206"/>
  <c r="I55" i="206"/>
  <c r="J55" i="206" s="1"/>
  <c r="I54" i="206"/>
  <c r="J54" i="206" s="1"/>
  <c r="I25" i="206"/>
  <c r="I20" i="206"/>
  <c r="I94" i="205"/>
  <c r="K94" i="205" s="1"/>
  <c r="I82" i="205"/>
  <c r="I79" i="205"/>
  <c r="K79" i="205" s="1"/>
  <c r="I76" i="205"/>
  <c r="K76" i="205" s="1"/>
  <c r="I61" i="205"/>
  <c r="K61" i="205" s="1"/>
  <c r="I60" i="205"/>
  <c r="I59" i="205"/>
  <c r="K59" i="205" s="1"/>
  <c r="I56" i="205"/>
  <c r="K36" i="205"/>
  <c r="K34" i="205"/>
  <c r="K30" i="205"/>
  <c r="K24" i="205"/>
  <c r="K20" i="205"/>
  <c r="I141" i="206"/>
  <c r="L133" i="206"/>
  <c r="L132" i="206"/>
  <c r="L125" i="206"/>
  <c r="L121" i="206"/>
  <c r="L120" i="206"/>
  <c r="L119" i="206"/>
  <c r="L118" i="206"/>
  <c r="L116" i="206"/>
  <c r="L115" i="206"/>
  <c r="L114" i="206"/>
  <c r="L110" i="206"/>
  <c r="L109" i="206"/>
  <c r="L108" i="206"/>
  <c r="L105" i="206"/>
  <c r="L103" i="206"/>
  <c r="L102" i="206"/>
  <c r="L100" i="206"/>
  <c r="L98" i="206"/>
  <c r="L97" i="206"/>
  <c r="L96" i="206"/>
  <c r="L94" i="206"/>
  <c r="L93" i="206"/>
  <c r="L92" i="206"/>
  <c r="L88" i="206"/>
  <c r="L87" i="206"/>
  <c r="L86" i="206"/>
  <c r="L85" i="206"/>
  <c r="L75" i="206"/>
  <c r="L72" i="206"/>
  <c r="L73" i="206"/>
  <c r="L74" i="206"/>
  <c r="L71" i="206"/>
  <c r="L70" i="206"/>
  <c r="L64" i="206"/>
  <c r="L63" i="206"/>
  <c r="L50" i="206"/>
  <c r="L51" i="206"/>
  <c r="L48" i="206"/>
  <c r="L46" i="206"/>
  <c r="L45" i="206"/>
  <c r="L38" i="206"/>
  <c r="L39" i="206"/>
  <c r="L40" i="206"/>
  <c r="L31" i="206"/>
  <c r="L32" i="206"/>
  <c r="L79" i="206" l="1"/>
  <c r="K56" i="205"/>
  <c r="K20" i="206"/>
  <c r="L20" i="206" s="1"/>
  <c r="I21" i="206"/>
  <c r="J141" i="206"/>
  <c r="K141" i="206"/>
  <c r="L141" i="206" s="1"/>
  <c r="J126" i="206"/>
  <c r="K126" i="206"/>
  <c r="L126" i="206" s="1"/>
  <c r="K65" i="206"/>
  <c r="L65" i="206" s="1"/>
  <c r="J25" i="206"/>
  <c r="K25" i="206"/>
  <c r="L25" i="206" s="1"/>
  <c r="J97" i="206"/>
  <c r="M97" i="206" s="1"/>
  <c r="J117" i="206"/>
  <c r="J96" i="206"/>
  <c r="M96" i="206" s="1"/>
  <c r="J93" i="206"/>
  <c r="M93" i="206" s="1"/>
  <c r="J56" i="206"/>
  <c r="L56" i="206"/>
  <c r="I95" i="205"/>
  <c r="J95" i="205" s="1"/>
  <c r="L127" i="206"/>
  <c r="L52" i="206"/>
  <c r="L37" i="206"/>
  <c r="L43" i="206" s="1"/>
  <c r="L124" i="206"/>
  <c r="L55" i="206"/>
  <c r="J65" i="206"/>
  <c r="J108" i="206"/>
  <c r="L117" i="206"/>
  <c r="L54" i="206"/>
  <c r="J20" i="206"/>
  <c r="L89" i="206"/>
  <c r="L90" i="206" s="1"/>
  <c r="J52" i="206"/>
  <c r="L130" i="206" l="1"/>
  <c r="K130" i="206"/>
  <c r="M56" i="206"/>
  <c r="M52" i="206"/>
  <c r="I16" i="206"/>
  <c r="I15" i="206"/>
  <c r="J15" i="206" s="1"/>
  <c r="I12" i="206"/>
  <c r="J12" i="206" s="1"/>
  <c r="L15" i="206"/>
  <c r="L14" i="206"/>
  <c r="L12" i="206"/>
  <c r="L11" i="206"/>
  <c r="L94" i="205"/>
  <c r="J94" i="205"/>
  <c r="I86" i="205"/>
  <c r="L82" i="205"/>
  <c r="J82" i="205"/>
  <c r="L79" i="205"/>
  <c r="J79" i="205"/>
  <c r="L76" i="205"/>
  <c r="J76" i="205"/>
  <c r="L73" i="205"/>
  <c r="L68" i="205"/>
  <c r="L69" i="205"/>
  <c r="L61" i="205"/>
  <c r="J61" i="205"/>
  <c r="L60" i="205"/>
  <c r="J60" i="205"/>
  <c r="L59" i="205"/>
  <c r="J59" i="205"/>
  <c r="J56" i="205"/>
  <c r="J36" i="205"/>
  <c r="J34" i="205"/>
  <c r="J31" i="205"/>
  <c r="J30" i="205"/>
  <c r="J24" i="205"/>
  <c r="J25" i="205"/>
  <c r="J26" i="205"/>
  <c r="J20" i="205"/>
  <c r="K86" i="205" l="1"/>
  <c r="J16" i="206"/>
  <c r="K16" i="206"/>
  <c r="J86" i="205"/>
  <c r="L86" i="205" l="1"/>
  <c r="L89" i="205" s="1"/>
  <c r="J142" i="206"/>
  <c r="K142" i="206"/>
  <c r="K122" i="206"/>
  <c r="J21" i="206"/>
  <c r="K21" i="206"/>
  <c r="L142" i="206"/>
  <c r="M126" i="206"/>
  <c r="M117" i="206"/>
  <c r="M115" i="206"/>
  <c r="M108" i="206"/>
  <c r="M105" i="206"/>
  <c r="M89" i="206"/>
  <c r="L82" i="206"/>
  <c r="M82" i="206" s="1"/>
  <c r="M65" i="206"/>
  <c r="M64" i="206"/>
  <c r="M55" i="206"/>
  <c r="M54" i="206"/>
  <c r="M25" i="206"/>
  <c r="M20" i="206"/>
  <c r="L16" i="206"/>
  <c r="M16" i="206" s="1"/>
  <c r="M15" i="206"/>
  <c r="M12" i="206"/>
  <c r="I138" i="206"/>
  <c r="M94" i="205"/>
  <c r="M82" i="205"/>
  <c r="M79" i="205"/>
  <c r="M76" i="205"/>
  <c r="M77" i="205" s="1"/>
  <c r="M61" i="205"/>
  <c r="M60" i="205"/>
  <c r="M59" i="205"/>
  <c r="L56" i="205"/>
  <c r="M56" i="205" s="1"/>
  <c r="L36" i="205"/>
  <c r="M36" i="205" s="1"/>
  <c r="L35" i="205"/>
  <c r="L34" i="205"/>
  <c r="M34" i="205" s="1"/>
  <c r="L31" i="205"/>
  <c r="M31" i="205" s="1"/>
  <c r="L30" i="205"/>
  <c r="M30" i="205" s="1"/>
  <c r="L26" i="205"/>
  <c r="M26" i="205" s="1"/>
  <c r="L25" i="205"/>
  <c r="L24" i="205"/>
  <c r="M24" i="205" s="1"/>
  <c r="L20" i="205"/>
  <c r="M20" i="205" s="1"/>
  <c r="L12" i="205"/>
  <c r="L9" i="205"/>
  <c r="K42" i="205"/>
  <c r="K46" i="205"/>
  <c r="J47" i="205"/>
  <c r="K50" i="205"/>
  <c r="J80" i="205"/>
  <c r="M32" i="205" l="1"/>
  <c r="I139" i="206"/>
  <c r="K138" i="206"/>
  <c r="K39" i="205"/>
  <c r="L39" i="205" s="1"/>
  <c r="K23" i="205"/>
  <c r="K28" i="205" s="1"/>
  <c r="K19" i="205"/>
  <c r="L19" i="205" s="1"/>
  <c r="M21" i="206"/>
  <c r="M95" i="205"/>
  <c r="J35" i="205"/>
  <c r="M35" i="205" s="1"/>
  <c r="L32" i="205"/>
  <c r="L43" i="205"/>
  <c r="J43" i="205"/>
  <c r="L46" i="205"/>
  <c r="J46" i="205"/>
  <c r="J39" i="205"/>
  <c r="J138" i="206"/>
  <c r="J139" i="206" s="1"/>
  <c r="L42" i="205"/>
  <c r="J42" i="205"/>
  <c r="J23" i="205"/>
  <c r="J19" i="205"/>
  <c r="L50" i="205"/>
  <c r="J50" i="205"/>
  <c r="L21" i="206"/>
  <c r="M141" i="206"/>
  <c r="M142" i="206" s="1"/>
  <c r="L122" i="206"/>
  <c r="M72" i="206"/>
  <c r="M47" i="205"/>
  <c r="M25" i="205"/>
  <c r="L80" i="205"/>
  <c r="M80" i="205"/>
  <c r="L77" i="205"/>
  <c r="J77" i="205"/>
  <c r="J32" i="205"/>
  <c r="M37" i="205" l="1"/>
  <c r="L23" i="205"/>
  <c r="L28" i="205" s="1"/>
  <c r="M42" i="205"/>
  <c r="M39" i="205"/>
  <c r="M40" i="205" s="1"/>
  <c r="M43" i="205"/>
  <c r="M46" i="205"/>
  <c r="M48" i="205" s="1"/>
  <c r="M19" i="205"/>
  <c r="M21" i="205" s="1"/>
  <c r="M50" i="205"/>
  <c r="M51" i="205" s="1"/>
  <c r="L138" i="206"/>
  <c r="K139" i="206"/>
  <c r="K80" i="205"/>
  <c r="K32" i="205"/>
  <c r="K95" i="205"/>
  <c r="K77" i="205"/>
  <c r="L95" i="205"/>
  <c r="N61" i="206"/>
  <c r="M44" i="205" l="1"/>
  <c r="M23" i="205"/>
  <c r="M28" i="205" s="1"/>
  <c r="L139" i="206"/>
  <c r="M138" i="206"/>
  <c r="M139" i="206" s="1"/>
  <c r="N83" i="206"/>
  <c r="I40" i="206"/>
  <c r="I38" i="206"/>
  <c r="N35" i="206"/>
  <c r="N18" i="206"/>
  <c r="I80" i="205"/>
  <c r="I77" i="205"/>
  <c r="I81" i="206"/>
  <c r="I83" i="206" s="1"/>
  <c r="N142" i="206"/>
  <c r="I142" i="206"/>
  <c r="N139" i="206"/>
  <c r="N136" i="206"/>
  <c r="N130" i="206"/>
  <c r="N122" i="206"/>
  <c r="N106" i="206"/>
  <c r="N90" i="206"/>
  <c r="N79" i="206"/>
  <c r="N67" i="206"/>
  <c r="N21" i="206"/>
  <c r="K81" i="206" l="1"/>
  <c r="J38" i="206"/>
  <c r="M38" i="206" s="1"/>
  <c r="J81" i="206"/>
  <c r="J83" i="206" s="1"/>
  <c r="J40" i="206"/>
  <c r="M40" i="206" s="1"/>
  <c r="I66" i="206"/>
  <c r="K66" i="206" s="1"/>
  <c r="L81" i="206" l="1"/>
  <c r="K83" i="206"/>
  <c r="J66" i="206"/>
  <c r="L83" i="206" l="1"/>
  <c r="M81" i="206"/>
  <c r="M83" i="206" s="1"/>
  <c r="L66" i="206"/>
  <c r="L67" i="206" s="1"/>
  <c r="K67" i="206"/>
  <c r="M66" i="206" l="1"/>
  <c r="I46" i="206"/>
  <c r="I47" i="206"/>
  <c r="I48" i="206"/>
  <c r="I50" i="206"/>
  <c r="I51" i="206"/>
  <c r="I53" i="206"/>
  <c r="L53" i="206" l="1"/>
  <c r="J53" i="206"/>
  <c r="J51" i="206"/>
  <c r="M51" i="206" s="1"/>
  <c r="J48" i="206"/>
  <c r="M48" i="206" s="1"/>
  <c r="J47" i="206"/>
  <c r="J46" i="206"/>
  <c r="M46" i="206" s="1"/>
  <c r="J50" i="206"/>
  <c r="M50" i="206" s="1"/>
  <c r="I75" i="206"/>
  <c r="M53" i="206" l="1"/>
  <c r="J75" i="206"/>
  <c r="M75" i="206" s="1"/>
  <c r="L47" i="206"/>
  <c r="K61" i="206"/>
  <c r="L61" i="206" l="1"/>
  <c r="M47" i="206"/>
  <c r="J40" i="205" l="1"/>
  <c r="L40" i="205"/>
  <c r="I70" i="206"/>
  <c r="J70" i="206" l="1"/>
  <c r="K40" i="205"/>
  <c r="M70" i="206" l="1"/>
  <c r="I73" i="206"/>
  <c r="J73" i="206" l="1"/>
  <c r="M73" i="206" s="1"/>
  <c r="J132" i="206" l="1"/>
  <c r="M132" i="206" s="1"/>
  <c r="I8" i="206"/>
  <c r="I124" i="206"/>
  <c r="I125" i="206"/>
  <c r="I127" i="206"/>
  <c r="I109" i="206"/>
  <c r="I110" i="206"/>
  <c r="J114" i="206"/>
  <c r="J116" i="206"/>
  <c r="J118" i="206"/>
  <c r="J119" i="206"/>
  <c r="J120" i="206"/>
  <c r="J121" i="206"/>
  <c r="I94" i="206"/>
  <c r="I95" i="206"/>
  <c r="K95" i="206" s="1"/>
  <c r="I98" i="206"/>
  <c r="I99" i="206"/>
  <c r="L99" i="206" s="1"/>
  <c r="I100" i="206"/>
  <c r="I102" i="206"/>
  <c r="I103" i="206"/>
  <c r="I92" i="206"/>
  <c r="I86" i="206"/>
  <c r="I87" i="206"/>
  <c r="I88" i="206"/>
  <c r="I85" i="206"/>
  <c r="I71" i="206"/>
  <c r="I74" i="206"/>
  <c r="I63" i="206"/>
  <c r="I67" i="206" s="1"/>
  <c r="I45" i="206"/>
  <c r="I61" i="206" s="1"/>
  <c r="I37" i="206"/>
  <c r="I39" i="206"/>
  <c r="I31" i="206"/>
  <c r="I32" i="206"/>
  <c r="I29" i="206"/>
  <c r="I23" i="206"/>
  <c r="I24" i="206"/>
  <c r="K24" i="206" s="1"/>
  <c r="I10" i="206"/>
  <c r="K10" i="206" s="1"/>
  <c r="I11" i="206"/>
  <c r="I14" i="206"/>
  <c r="M9" i="205"/>
  <c r="I91" i="205"/>
  <c r="K91" i="205" s="1"/>
  <c r="I87" i="205"/>
  <c r="I89" i="205" s="1"/>
  <c r="M86" i="205"/>
  <c r="I83" i="205"/>
  <c r="I84" i="205" s="1"/>
  <c r="I73" i="205"/>
  <c r="I72" i="205"/>
  <c r="I68" i="205"/>
  <c r="I69" i="205"/>
  <c r="I67" i="205"/>
  <c r="I64" i="205"/>
  <c r="K64" i="205" s="1"/>
  <c r="I58" i="205"/>
  <c r="L58" i="205" s="1"/>
  <c r="I57" i="205"/>
  <c r="I62" i="205" s="1"/>
  <c r="I17" i="205"/>
  <c r="I74" i="205" l="1"/>
  <c r="I79" i="206"/>
  <c r="I43" i="206"/>
  <c r="I90" i="206"/>
  <c r="I122" i="206"/>
  <c r="I106" i="206"/>
  <c r="I35" i="206"/>
  <c r="I130" i="206"/>
  <c r="I27" i="206"/>
  <c r="I18" i="206"/>
  <c r="I70" i="205"/>
  <c r="K67" i="205"/>
  <c r="L67" i="205" s="1"/>
  <c r="K72" i="205"/>
  <c r="L72" i="205" s="1"/>
  <c r="K57" i="205"/>
  <c r="L57" i="205" s="1"/>
  <c r="K87" i="205"/>
  <c r="K89" i="205" s="1"/>
  <c r="K29" i="206"/>
  <c r="K35" i="206" s="1"/>
  <c r="K23" i="206"/>
  <c r="K8" i="206"/>
  <c r="K18" i="206" s="1"/>
  <c r="K11" i="205"/>
  <c r="K14" i="205" s="1"/>
  <c r="J63" i="206"/>
  <c r="J67" i="206" s="1"/>
  <c r="J45" i="206"/>
  <c r="J61" i="206" s="1"/>
  <c r="L16" i="205"/>
  <c r="J16" i="205"/>
  <c r="M121" i="206"/>
  <c r="L83" i="205"/>
  <c r="J83" i="205"/>
  <c r="L64" i="205"/>
  <c r="J64" i="205"/>
  <c r="J87" i="206"/>
  <c r="M87" i="206" s="1"/>
  <c r="J86" i="206"/>
  <c r="M86" i="206" s="1"/>
  <c r="J98" i="206"/>
  <c r="M98" i="206" s="1"/>
  <c r="M116" i="206"/>
  <c r="J124" i="206"/>
  <c r="J102" i="206"/>
  <c r="M102" i="206" s="1"/>
  <c r="J57" i="205"/>
  <c r="J85" i="206"/>
  <c r="J109" i="206"/>
  <c r="J87" i="205"/>
  <c r="J89" i="205" s="1"/>
  <c r="J37" i="206"/>
  <c r="J99" i="206"/>
  <c r="M99" i="206" s="1"/>
  <c r="M118" i="206"/>
  <c r="J67" i="205"/>
  <c r="J69" i="205"/>
  <c r="M69" i="205" s="1"/>
  <c r="L134" i="206"/>
  <c r="J134" i="206"/>
  <c r="M114" i="206"/>
  <c r="J12" i="205"/>
  <c r="M12" i="205" s="1"/>
  <c r="J68" i="205"/>
  <c r="M68" i="205" s="1"/>
  <c r="J32" i="206"/>
  <c r="M32" i="206" s="1"/>
  <c r="J74" i="206"/>
  <c r="M74" i="206" s="1"/>
  <c r="J92" i="206"/>
  <c r="M92" i="206" s="1"/>
  <c r="J95" i="206"/>
  <c r="J133" i="206"/>
  <c r="M133" i="206" s="1"/>
  <c r="J73" i="205"/>
  <c r="M73" i="205" s="1"/>
  <c r="J11" i="206"/>
  <c r="M11" i="206" s="1"/>
  <c r="L24" i="206"/>
  <c r="J24" i="206"/>
  <c r="J125" i="206"/>
  <c r="M125" i="206" s="1"/>
  <c r="J23" i="206"/>
  <c r="L91" i="205"/>
  <c r="J91" i="205"/>
  <c r="J29" i="206"/>
  <c r="J11" i="205"/>
  <c r="J72" i="205"/>
  <c r="J31" i="206"/>
  <c r="M31" i="206" s="1"/>
  <c r="J71" i="206"/>
  <c r="J103" i="206"/>
  <c r="M103" i="206" s="1"/>
  <c r="J94" i="206"/>
  <c r="M94" i="206" s="1"/>
  <c r="J14" i="206"/>
  <c r="M14" i="206" s="1"/>
  <c r="J8" i="206"/>
  <c r="J110" i="206"/>
  <c r="M110" i="206" s="1"/>
  <c r="J39" i="206"/>
  <c r="M39" i="206" s="1"/>
  <c r="M120" i="206"/>
  <c r="J58" i="205"/>
  <c r="M58" i="205" s="1"/>
  <c r="L10" i="206"/>
  <c r="J10" i="206"/>
  <c r="J88" i="206"/>
  <c r="M88" i="206" s="1"/>
  <c r="J100" i="206"/>
  <c r="M100" i="206" s="1"/>
  <c r="M119" i="206"/>
  <c r="J127" i="206"/>
  <c r="J37" i="205"/>
  <c r="L37" i="205"/>
  <c r="L44" i="205"/>
  <c r="J44" i="205"/>
  <c r="I65" i="205"/>
  <c r="J48" i="205"/>
  <c r="I92" i="205"/>
  <c r="M71" i="206" l="1"/>
  <c r="M79" i="206" s="1"/>
  <c r="J79" i="206"/>
  <c r="J43" i="206"/>
  <c r="J90" i="206"/>
  <c r="I144" i="206"/>
  <c r="J35" i="206"/>
  <c r="J14" i="205"/>
  <c r="J18" i="206"/>
  <c r="M16" i="205"/>
  <c r="M107" i="205" s="1"/>
  <c r="J130" i="206"/>
  <c r="J27" i="206"/>
  <c r="M127" i="206"/>
  <c r="K27" i="206"/>
  <c r="M45" i="206"/>
  <c r="M61" i="206" s="1"/>
  <c r="M63" i="206"/>
  <c r="M67" i="206" s="1"/>
  <c r="J74" i="205"/>
  <c r="J70" i="205"/>
  <c r="M72" i="205"/>
  <c r="M74" i="205" s="1"/>
  <c r="L11" i="205"/>
  <c r="L14" i="205" s="1"/>
  <c r="M91" i="205"/>
  <c r="M92" i="205" s="1"/>
  <c r="M57" i="205"/>
  <c r="M62" i="205" s="1"/>
  <c r="M67" i="205"/>
  <c r="M70" i="205" s="1"/>
  <c r="M83" i="205"/>
  <c r="M84" i="205" s="1"/>
  <c r="M134" i="206"/>
  <c r="M10" i="206"/>
  <c r="M64" i="205"/>
  <c r="M65" i="205" s="1"/>
  <c r="M24" i="206"/>
  <c r="M87" i="205"/>
  <c r="M89" i="205" s="1"/>
  <c r="J122" i="206"/>
  <c r="J62" i="205"/>
  <c r="M109" i="206"/>
  <c r="M122" i="206" s="1"/>
  <c r="L23" i="206"/>
  <c r="L27" i="206" s="1"/>
  <c r="L95" i="206"/>
  <c r="M95" i="206" s="1"/>
  <c r="M106" i="206" s="1"/>
  <c r="K106" i="206"/>
  <c r="L8" i="206"/>
  <c r="L18" i="206" s="1"/>
  <c r="M85" i="206"/>
  <c r="M90" i="206" s="1"/>
  <c r="L29" i="206"/>
  <c r="L35" i="206" s="1"/>
  <c r="J106" i="206"/>
  <c r="M37" i="206"/>
  <c r="M43" i="206" s="1"/>
  <c r="M124" i="206"/>
  <c r="L62" i="205"/>
  <c r="L70" i="205"/>
  <c r="J84" i="205"/>
  <c r="L84" i="205"/>
  <c r="K74" i="205"/>
  <c r="K70" i="205"/>
  <c r="K48" i="205"/>
  <c r="K37" i="205"/>
  <c r="K62" i="205"/>
  <c r="J92" i="205"/>
  <c r="L92" i="205"/>
  <c r="J17" i="205"/>
  <c r="L17" i="205"/>
  <c r="J65" i="205"/>
  <c r="L65" i="205"/>
  <c r="J21" i="205"/>
  <c r="L21" i="205"/>
  <c r="L74" i="205"/>
  <c r="K44" i="205"/>
  <c r="L48" i="205"/>
  <c r="M130" i="206" l="1"/>
  <c r="M17" i="205"/>
  <c r="M11" i="205"/>
  <c r="M23" i="206"/>
  <c r="L156" i="206" s="1"/>
  <c r="M29" i="206"/>
  <c r="M35" i="206" s="1"/>
  <c r="M8" i="206"/>
  <c r="L106" i="206"/>
  <c r="K21" i="205"/>
  <c r="K65" i="205"/>
  <c r="K92" i="205"/>
  <c r="K84" i="205"/>
  <c r="K17" i="205"/>
  <c r="M27" i="206" l="1"/>
  <c r="M14" i="205"/>
  <c r="M18" i="206"/>
  <c r="J51" i="205"/>
  <c r="L51" i="205"/>
  <c r="K51" i="205" l="1"/>
  <c r="N42" i="215" l="1"/>
  <c r="I51" i="205" l="1"/>
  <c r="D55" i="2"/>
  <c r="D58" i="2"/>
  <c r="D56" i="2"/>
  <c r="D54" i="2"/>
  <c r="D57" i="2"/>
  <c r="D60" i="2"/>
  <c r="D63" i="2"/>
  <c r="D62" i="2"/>
  <c r="D61" i="2"/>
  <c r="D59" i="2"/>
  <c r="D53" i="2"/>
  <c r="I54" i="205" l="1"/>
  <c r="I97" i="205" s="1"/>
  <c r="K54" i="205" l="1"/>
  <c r="K97" i="205" s="1"/>
  <c r="L53" i="205"/>
  <c r="L54" i="205" s="1"/>
  <c r="L97" i="205" s="1"/>
  <c r="J53" i="205"/>
  <c r="J54" i="205" s="1"/>
  <c r="J97" i="205" s="1"/>
  <c r="M53" i="205" l="1"/>
  <c r="M106" i="205" s="1"/>
  <c r="M108" i="205" l="1"/>
  <c r="M54" i="205"/>
  <c r="M97" i="205" s="1"/>
  <c r="M110" i="205" l="1"/>
  <c r="L135" i="206"/>
  <c r="L136" i="206" s="1"/>
  <c r="L144" i="206" s="1"/>
  <c r="J135" i="206" l="1"/>
  <c r="J136" i="206" s="1"/>
  <c r="J144" i="206" s="1"/>
  <c r="K136" i="206"/>
  <c r="K144" i="206" s="1"/>
  <c r="M135" i="206" l="1"/>
  <c r="L155" i="206" s="1"/>
  <c r="M136" i="206" l="1"/>
  <c r="M144" i="206" s="1"/>
  <c r="N40" i="215"/>
  <c r="N44" i="215" l="1"/>
  <c r="L157" i="206"/>
  <c r="E40" i="215" s="1"/>
  <c r="E44" i="215" l="1"/>
  <c r="L159" i="206"/>
</calcChain>
</file>

<file path=xl/sharedStrings.xml><?xml version="1.0" encoding="utf-8"?>
<sst xmlns="http://schemas.openxmlformats.org/spreadsheetml/2006/main" count="970" uniqueCount="494">
  <si>
    <t>P E R C E P C I O N E S</t>
  </si>
  <si>
    <t>Sueldo</t>
  </si>
  <si>
    <t xml:space="preserve">  %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</si>
  <si>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</si>
  <si>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</si>
  <si>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</si>
  <si>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</si>
  <si>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</si>
  <si>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</si>
  <si>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</si>
  <si>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</si>
  <si>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</si>
  <si>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</si>
  <si>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</si>
  <si>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Nombre</t>
  </si>
  <si>
    <t>Trab.</t>
  </si>
  <si>
    <t>diario</t>
  </si>
  <si>
    <t>T O T A L E S</t>
  </si>
  <si>
    <t>CONVERSION DE TABLAS A QUINCENALES</t>
  </si>
  <si>
    <t>SUBSIDO AL EMPLEO</t>
  </si>
  <si>
    <t>MENSUAL</t>
  </si>
  <si>
    <t>Subsidio al</t>
  </si>
  <si>
    <t>Empleo</t>
  </si>
  <si>
    <t>SUBSIDIO AL</t>
  </si>
  <si>
    <t>EMPLEO</t>
  </si>
  <si>
    <t>TABLAS DE TARIFA Y SUBSIDIO AL EMPLEO PARA CALCULO DE I.S.P.T.</t>
  </si>
  <si>
    <t>NOMBRE DE LA EMPRESA</t>
  </si>
  <si>
    <t>NOMBRAMIENTO</t>
  </si>
  <si>
    <t xml:space="preserve"> </t>
  </si>
  <si>
    <t>PENSIONADOS</t>
  </si>
  <si>
    <t>PENSIONADO</t>
  </si>
  <si>
    <t>J Trinidad Flores Cocolán</t>
  </si>
  <si>
    <t>Raúl Rodríguez Navarro</t>
  </si>
  <si>
    <t>Sub - Total</t>
  </si>
  <si>
    <t>HACIENDA PUBLICA</t>
  </si>
  <si>
    <t>Director</t>
  </si>
  <si>
    <t>SERVICIOS PUBLICOS</t>
  </si>
  <si>
    <t>Electricista</t>
  </si>
  <si>
    <t>Recolector</t>
  </si>
  <si>
    <t>CASA DE LA CULTURA</t>
  </si>
  <si>
    <t>Secretaria</t>
  </si>
  <si>
    <t>Recepcionista</t>
  </si>
  <si>
    <t>Auxiliar</t>
  </si>
  <si>
    <t>PARQUES Y JARDINES</t>
  </si>
  <si>
    <t>AGUA POTABLE Y ALCANTARILLADO</t>
  </si>
  <si>
    <t>CEMENTERIO</t>
  </si>
  <si>
    <t>OFICIALIA MAYOR</t>
  </si>
  <si>
    <t>Chofer</t>
  </si>
  <si>
    <t>Chofer Urvan</t>
  </si>
  <si>
    <t>Chofer Camión</t>
  </si>
  <si>
    <t>DELEGACION EL AMARILLO</t>
  </si>
  <si>
    <t>Delegado</t>
  </si>
  <si>
    <t>DELEGACION LA VEGA</t>
  </si>
  <si>
    <t>DELEGACION LA ESTANZUELA</t>
  </si>
  <si>
    <t>Intendente</t>
  </si>
  <si>
    <t>DELEGACION LA MORA</t>
  </si>
  <si>
    <t>Jardinero</t>
  </si>
  <si>
    <t>RASTRO MUNICIPAL</t>
  </si>
  <si>
    <t>Inspector</t>
  </si>
  <si>
    <t>OBRAS PUBLICAS</t>
  </si>
  <si>
    <t>Encargado</t>
  </si>
  <si>
    <t>Chofer Camión Basura</t>
  </si>
  <si>
    <t>Mtto. Campo Futbol</t>
  </si>
  <si>
    <t>Aseo Río</t>
  </si>
  <si>
    <t>PADRON Y LICENCIAS</t>
  </si>
  <si>
    <t>Fontanero</t>
  </si>
  <si>
    <t>Enc. Bomba</t>
  </si>
  <si>
    <t>Enc. Limp. Áreas verdes</t>
  </si>
  <si>
    <t>Matancero</t>
  </si>
  <si>
    <t>Barrendera</t>
  </si>
  <si>
    <t>Enc. Jardines</t>
  </si>
  <si>
    <t>Enc. De bomba</t>
  </si>
  <si>
    <t>Enc bomba Chora</t>
  </si>
  <si>
    <t>SISTEMAS</t>
  </si>
  <si>
    <t>J. Jesús Sánchez</t>
  </si>
  <si>
    <t>DEPORTES</t>
  </si>
  <si>
    <t>PROM. ECONOMICA Y PART. CIUDADANA</t>
  </si>
  <si>
    <t>Enc. De la hacienda</t>
  </si>
  <si>
    <t>CATASTRO</t>
  </si>
  <si>
    <t>TRANSPARENCIA</t>
  </si>
  <si>
    <t>Aux. Legal</t>
  </si>
  <si>
    <t>Aux. Agropecuario</t>
  </si>
  <si>
    <t>Limpieza</t>
  </si>
  <si>
    <t>Luis Santos Oliva</t>
  </si>
  <si>
    <t>MEDIO AMBIENTE</t>
  </si>
  <si>
    <t xml:space="preserve">Jefe de No Antec. Penales </t>
  </si>
  <si>
    <t>Titular Ce-Mujer</t>
  </si>
  <si>
    <t>Presidente Municipal</t>
  </si>
  <si>
    <t>CONTRALORIA</t>
  </si>
  <si>
    <t>Contralor</t>
  </si>
  <si>
    <t>EFECTIVO</t>
  </si>
  <si>
    <t>TARJETA</t>
  </si>
  <si>
    <t>Sueldo quincenal</t>
  </si>
  <si>
    <t>Veterinario</t>
  </si>
  <si>
    <t>Limpieza panteón</t>
  </si>
  <si>
    <t>APOYOS A INSTITUCIONES EDUCATIVAS</t>
  </si>
  <si>
    <t>CURP</t>
  </si>
  <si>
    <t>Velador primaria la Estanzuela</t>
  </si>
  <si>
    <t>Velador Secundaria la Estanzuela</t>
  </si>
  <si>
    <t xml:space="preserve">         ENC. DE LA HACIENDA MUNICIPAL</t>
  </si>
  <si>
    <t>Velador Casa del andador</t>
  </si>
  <si>
    <t>Director Reg. Civil</t>
  </si>
  <si>
    <t>Ayudante de electricista</t>
  </si>
  <si>
    <t>Chofer camión de basura</t>
  </si>
  <si>
    <t>Juventud</t>
  </si>
  <si>
    <t>Auxiliar de salud</t>
  </si>
  <si>
    <t>Secretario particular</t>
  </si>
  <si>
    <t>Intendente Esc. Especial</t>
  </si>
  <si>
    <t>Secretario</t>
  </si>
  <si>
    <t>Barrendero</t>
  </si>
  <si>
    <t>Velador Estación</t>
  </si>
  <si>
    <t>Enc. Del sistema de agua potable</t>
  </si>
  <si>
    <t>Oficial Mayor</t>
  </si>
  <si>
    <t>Enc. De Bomba La higuerita</t>
  </si>
  <si>
    <t>Sub-Total</t>
  </si>
  <si>
    <t>Encargado campo de futbol</t>
  </si>
  <si>
    <t xml:space="preserve">Recolector </t>
  </si>
  <si>
    <t>Encargado de bomba</t>
  </si>
  <si>
    <t>Barrendera Plaza</t>
  </si>
  <si>
    <t>Promotor de deportes</t>
  </si>
  <si>
    <t>Jefe de Ingresos</t>
  </si>
  <si>
    <t>Jefa Egresos</t>
  </si>
  <si>
    <t>Secretario General</t>
  </si>
  <si>
    <t>APOYOS A INSTITUCIONES DE SALUD</t>
  </si>
  <si>
    <t>Aseo Centro de Salud Lucio Blanco</t>
  </si>
  <si>
    <t>Juana Salazar Flores</t>
  </si>
  <si>
    <t>Marlene Elizabeth Tadeo Bañuelos</t>
  </si>
  <si>
    <t xml:space="preserve">            PRESIDENTE MUNICIPAL</t>
  </si>
  <si>
    <t>TOTALES</t>
  </si>
  <si>
    <t>Intendente del Centro de Salud</t>
  </si>
  <si>
    <t>Adriana Loera Salazar</t>
  </si>
  <si>
    <t>Intendente Jardín de niños</t>
  </si>
  <si>
    <t>Julio César Reyes García</t>
  </si>
  <si>
    <t>Días</t>
  </si>
  <si>
    <t>Núm..</t>
  </si>
  <si>
    <t>Héctor Emmanuel Corrales Benítez</t>
  </si>
  <si>
    <t>total percepción</t>
  </si>
  <si>
    <t xml:space="preserve"> Afanadora Kínder Lucio Blanco</t>
  </si>
  <si>
    <t>Aux. Kínder Lucio Blanco</t>
  </si>
  <si>
    <t xml:space="preserve"> PRESIDENTE MUNICIPAL</t>
  </si>
  <si>
    <t>Aux. Kinder Tehozitan</t>
  </si>
  <si>
    <t>Mtto. del campo de futbol La estanzuela</t>
  </si>
  <si>
    <t>Roberto Morán Rodríguez</t>
  </si>
  <si>
    <t>MICA761107MJCRRN02</t>
  </si>
  <si>
    <t>PASR631118MJCRNB04</t>
  </si>
  <si>
    <t>ROFE660112MJCDLV04</t>
  </si>
  <si>
    <t>Luis Angel Tamayo Guillen</t>
  </si>
  <si>
    <t>Jose de Jesús Gallo Torres</t>
  </si>
  <si>
    <t>REGISTRO CIVIL</t>
  </si>
  <si>
    <t>Román Murguía Rojas</t>
  </si>
  <si>
    <t>Irma Cecilia Fernandez Hernandez</t>
  </si>
  <si>
    <t>Capturista</t>
  </si>
  <si>
    <t>Intendete en primaria Miguel Hidalgo y Costilla</t>
  </si>
  <si>
    <t>Intendente Jardin de niños Vicente Guerrero</t>
  </si>
  <si>
    <t>Ma Eduwiges Reyes Ballesteros</t>
  </si>
  <si>
    <t>Aseo centro de salud La Estanzuela</t>
  </si>
  <si>
    <t>Antonia Vizcarra Hernandez</t>
  </si>
  <si>
    <t>Juana Mendoza Moran</t>
  </si>
  <si>
    <t>Directora</t>
  </si>
  <si>
    <t>Ma. Del Carmen Solorzano Bautista</t>
  </si>
  <si>
    <t>Ma. de Jesús Contreras Lomelí</t>
  </si>
  <si>
    <t>Berenice Silva Zepeda</t>
  </si>
  <si>
    <t>Jose Refugio Carmona Martinez</t>
  </si>
  <si>
    <t>Jose Luis  Mendez Hernandez</t>
  </si>
  <si>
    <t>Fernando Fuentes Gonzalez</t>
  </si>
  <si>
    <t>Susana Meza Flores</t>
  </si>
  <si>
    <t>Lilia Elizabeth González Ponce</t>
  </si>
  <si>
    <t>Edson Alejandro Gallegos Rosales</t>
  </si>
  <si>
    <t>Alejandra Soto Villalobos</t>
  </si>
  <si>
    <t>Juan Felipe Torres Sánchez</t>
  </si>
  <si>
    <t>Jorge Humberto Camberos García</t>
  </si>
  <si>
    <t>Luis Manuel Camarena Ávila</t>
  </si>
  <si>
    <t>Juan Fernando Medina Corona</t>
  </si>
  <si>
    <t>Ana Rosa Sánchez Silva</t>
  </si>
  <si>
    <t>Brenda Guadalupe García Amezcua</t>
  </si>
  <si>
    <t>Lisandro Fabián Núñez Loera</t>
  </si>
  <si>
    <t>Adriana Martínez Carrillo</t>
  </si>
  <si>
    <t>Magdaleno Rosales Gallo</t>
  </si>
  <si>
    <t>Irma Ramírez Orozco</t>
  </si>
  <si>
    <t>J. Jesús Hernández Vázquez</t>
  </si>
  <si>
    <t>Enrique Ortega Ascencio</t>
  </si>
  <si>
    <t>Jesús Emmanuel Gómez Medina</t>
  </si>
  <si>
    <t>María Guadalupe Zepeda Ocampo</t>
  </si>
  <si>
    <t>Oswaldo Cuarenta Hernández</t>
  </si>
  <si>
    <t>Rubén Zepeda Álvarez</t>
  </si>
  <si>
    <t>Ma. De Lourdes Sánchez Meza</t>
  </si>
  <si>
    <t>Arianna Janet Huerta Parra</t>
  </si>
  <si>
    <t>Juan Antonio Lozano Meza</t>
  </si>
  <si>
    <t>Edgar Alfredo Gallegos Cuarenta</t>
  </si>
  <si>
    <t>Daniela Alejandra Ulloa Delgadillo</t>
  </si>
  <si>
    <t>José Najar Rizo</t>
  </si>
  <si>
    <t>René Trigueros Marroquín</t>
  </si>
  <si>
    <t>Juana Sandoval Ramirez</t>
  </si>
  <si>
    <t>Ma. Consuelo Hernández González</t>
  </si>
  <si>
    <t>Ana Isabel Lozano Sánchez</t>
  </si>
  <si>
    <t>Sandra Navarro Mendoza</t>
  </si>
  <si>
    <t>Ygnacio Celis Vizcarra</t>
  </si>
  <si>
    <t>Gustavo Ramirez Sánchez</t>
  </si>
  <si>
    <t>Alejandro Serrano Sandoval</t>
  </si>
  <si>
    <t>Cesar Castellón Santos</t>
  </si>
  <si>
    <t>Esmeralda Plascencia Ramirez</t>
  </si>
  <si>
    <t>Pedro Damián Ruelas Rubio</t>
  </si>
  <si>
    <t>Jorge Iván Gallegos Rosales</t>
  </si>
  <si>
    <t>Fausto Torres González</t>
  </si>
  <si>
    <t>Francisco Ávila Ramirez</t>
  </si>
  <si>
    <t>Javier Saavedra Ávila</t>
  </si>
  <si>
    <t>Lorenzo Chávez Saavedra</t>
  </si>
  <si>
    <t>María del Socorro Almaraz Reyes</t>
  </si>
  <si>
    <t>Laura Elena Torres Ramirez</t>
  </si>
  <si>
    <t>Rosalba Márquez Camarena</t>
  </si>
  <si>
    <t>Rigoberto Santos Becerra</t>
  </si>
  <si>
    <t>Luzvi Mireya Avalos Espinoza</t>
  </si>
  <si>
    <t>José de Jesús Venegas Rodríguez</t>
  </si>
  <si>
    <t>Adelaida Montes Barbosa</t>
  </si>
  <si>
    <t>María Luisa Jiménez Virgen</t>
  </si>
  <si>
    <t>Margarita Gutiérrez Rizo</t>
  </si>
  <si>
    <t>Cipriano Blanco Candelario</t>
  </si>
  <si>
    <t>Abelino Rivera Hernández</t>
  </si>
  <si>
    <t>J. Jesús Velazquez Moya</t>
  </si>
  <si>
    <t>Juan Gabriel Tovar Salazar</t>
  </si>
  <si>
    <t>José de Jesús Murillo Sandoval</t>
  </si>
  <si>
    <t>Elena Anguiano Rubio</t>
  </si>
  <si>
    <t>Jaime Cristian Serrano Miramontes</t>
  </si>
  <si>
    <t>José Antonio Rivera Gallegos</t>
  </si>
  <si>
    <t>Ramiro Oliva Vázquez</t>
  </si>
  <si>
    <t>Adriana Aguilera Amaral</t>
  </si>
  <si>
    <t>Juan Ramirez Caratachia</t>
  </si>
  <si>
    <t>Juan Pedro Plascencia Gómez</t>
  </si>
  <si>
    <t>Oswaldo Gallegos Muñoz</t>
  </si>
  <si>
    <t>Baudelio González Lara</t>
  </si>
  <si>
    <t>J. Isabel Rosales Solorzano</t>
  </si>
  <si>
    <t>Felipe Hernandez Gonzalez</t>
  </si>
  <si>
    <t>Juan Antonio Ramirez Trigueros</t>
  </si>
  <si>
    <t>Gabriel Oliva Sánchez</t>
  </si>
  <si>
    <t>Jorge Humberto Gómez Ramirez</t>
  </si>
  <si>
    <t>Mario Pedro Soto Alvarado</t>
  </si>
  <si>
    <t>Margarita Barrera Ruiz</t>
  </si>
  <si>
    <t>Francisco Ortega Rojas</t>
  </si>
  <si>
    <t>Francisco Rodríguez  Ojeda</t>
  </si>
  <si>
    <t>Rigoberto Valdez Orozco</t>
  </si>
  <si>
    <t>Ernesto Ávila Hernández</t>
  </si>
  <si>
    <t>Brenda Mireya Silva Torres</t>
  </si>
  <si>
    <t>Bernardette Casillas Santiago</t>
  </si>
  <si>
    <t>Sandra Erika Santos Becerra</t>
  </si>
  <si>
    <t>Javier Guadalupe Delgado Contreras</t>
  </si>
  <si>
    <t>J. Guadalupe Saavedra López</t>
  </si>
  <si>
    <t>José de Jesús Casillas Toscano</t>
  </si>
  <si>
    <t>Mercedes Candelaria Pezqueda Rosales</t>
  </si>
  <si>
    <t>Evelin López Virgen</t>
  </si>
  <si>
    <t>Arturo Tejeda Ibarra</t>
  </si>
  <si>
    <t>Aniceto Cedano Sánchez</t>
  </si>
  <si>
    <t>Salvador Rivera Venegas</t>
  </si>
  <si>
    <t>José de Jesús Santos Martínez</t>
  </si>
  <si>
    <t>Juan Moiscés Ocaranza Flores</t>
  </si>
  <si>
    <t>Humberto Sierra Contreras</t>
  </si>
  <si>
    <t>Juan Lozano Vázquez</t>
  </si>
  <si>
    <t>Héctor Martin Soto Escobedo</t>
  </si>
  <si>
    <t>José de Jesús Tapia Maciel</t>
  </si>
  <si>
    <t>Ocday Mendoza Morán</t>
  </si>
  <si>
    <t>Ramón Echeverria Aldaz</t>
  </si>
  <si>
    <t>Leticia Espinoza Trigueros</t>
  </si>
  <si>
    <t>Luz Evelia Flores Jiménez</t>
  </si>
  <si>
    <t>Silvia Olvera Zúñiga</t>
  </si>
  <si>
    <t>Victoriano Rosales Solorzano</t>
  </si>
  <si>
    <t xml:space="preserve">Nora Guadalupe Meza Camarillo </t>
  </si>
  <si>
    <t>Eva Rodríguez Flores</t>
  </si>
  <si>
    <t>Rebeca Partida Sánchez</t>
  </si>
  <si>
    <t>Ana Bertha Miramontes Cervantes</t>
  </si>
  <si>
    <t>Prudencio Aguayo Dueñas</t>
  </si>
  <si>
    <t>Laura Martínez Santiago</t>
  </si>
  <si>
    <t>Roberto Antonio García Aguayo</t>
  </si>
  <si>
    <t xml:space="preserve">Auxiliar </t>
  </si>
  <si>
    <t>Sara Flores Cocolán</t>
  </si>
  <si>
    <t xml:space="preserve">Sebastián Gómez Pulido </t>
  </si>
  <si>
    <t>Mecánico</t>
  </si>
  <si>
    <t>Lucia Sierra Celis</t>
  </si>
  <si>
    <t>Encargada de Archivo y Patrimonio Municipal</t>
  </si>
  <si>
    <t>Raúl del Ángel Solórzano Vázquez</t>
  </si>
  <si>
    <t>Rosa Ortega Saavedra</t>
  </si>
  <si>
    <t>C. Irma Cecilia Fernández Hernández</t>
  </si>
  <si>
    <t>Gabriela Berenice Castro Aguilar</t>
  </si>
  <si>
    <t>Directora Turismo</t>
  </si>
  <si>
    <t>Josseline Moran Diaz</t>
  </si>
  <si>
    <t>Auxiliar de Cultura</t>
  </si>
  <si>
    <t>Jaime Ortega Saavedra</t>
  </si>
  <si>
    <t>Total Remunerac</t>
  </si>
  <si>
    <t>Puesto</t>
  </si>
  <si>
    <t>Curp</t>
  </si>
  <si>
    <t>Sueldo Quincenal</t>
  </si>
  <si>
    <t>Total Deducc.</t>
  </si>
  <si>
    <t>DIAS</t>
  </si>
  <si>
    <t>Sueldo Diario</t>
  </si>
  <si>
    <t>No.</t>
  </si>
  <si>
    <t>PRESIDENTE MUNICIPAL</t>
  </si>
  <si>
    <t>L.C.P. IRMA CECILIA FERNÁNDEZ HERNÁNDEZ</t>
  </si>
  <si>
    <t>ENC. DE LA HACIENDA PÚBLICA</t>
  </si>
  <si>
    <t>F  I  R  M  A</t>
  </si>
  <si>
    <t>F i r m a</t>
  </si>
  <si>
    <t>Total Remunerac.</t>
  </si>
  <si>
    <t>MUNICIPIO DE TEUCHITLAN JALISCO</t>
  </si>
  <si>
    <t>PERSONAL DE BASE    (113)</t>
  </si>
  <si>
    <t>PERSONAL EVENTUAL:    (122)</t>
  </si>
  <si>
    <t>DIF</t>
  </si>
  <si>
    <t>TOTAL</t>
  </si>
  <si>
    <t>Subsidio al Empleo</t>
  </si>
  <si>
    <t>ISR Salarios</t>
  </si>
  <si>
    <t>DESARROLLO AGROPECUARIO</t>
  </si>
  <si>
    <t>MEMJ651006MJCNRN07</t>
  </si>
  <si>
    <t>C.Irma Cecilia Fernández Hernández</t>
  </si>
  <si>
    <t>PAGAR</t>
  </si>
  <si>
    <t xml:space="preserve">A </t>
  </si>
  <si>
    <t>F I R M A</t>
  </si>
  <si>
    <t>Ma. Del Socorro Cuarenta Flores</t>
  </si>
  <si>
    <t>Orden de pago</t>
  </si>
  <si>
    <t>TOTAL A PAGAR</t>
  </si>
  <si>
    <t>Efectivo</t>
  </si>
  <si>
    <t>Tarjeta</t>
  </si>
  <si>
    <t>Horas</t>
  </si>
  <si>
    <t>TARIFA</t>
  </si>
  <si>
    <t>Crédito</t>
  </si>
  <si>
    <t>Subsidio al empleo</t>
  </si>
  <si>
    <t xml:space="preserve">D E D U C C I O N E S </t>
  </si>
  <si>
    <t>Bono por</t>
  </si>
  <si>
    <t>Comisiones</t>
  </si>
  <si>
    <t>Otros</t>
  </si>
  <si>
    <t>Otros exentos</t>
  </si>
  <si>
    <t>Extras</t>
  </si>
  <si>
    <t>Base</t>
  </si>
  <si>
    <t>Excedente</t>
  </si>
  <si>
    <t>%/S exced.</t>
  </si>
  <si>
    <t>Impuesto</t>
  </si>
  <si>
    <t xml:space="preserve">Al </t>
  </si>
  <si>
    <t>a Cargo</t>
  </si>
  <si>
    <t>I.S.P.T.</t>
  </si>
  <si>
    <t>I.M.S.S.</t>
  </si>
  <si>
    <t>Fondo de</t>
  </si>
  <si>
    <t>Prestamos</t>
  </si>
  <si>
    <t>Total deduc.</t>
  </si>
  <si>
    <t>Asistencia</t>
  </si>
  <si>
    <t>Puntualidad</t>
  </si>
  <si>
    <t>Gravados</t>
  </si>
  <si>
    <t>Gravadas</t>
  </si>
  <si>
    <t>Gravable</t>
  </si>
  <si>
    <t>Limite Inf.</t>
  </si>
  <si>
    <t>Marginal</t>
  </si>
  <si>
    <t>Bruto</t>
  </si>
  <si>
    <r>
      <t>o</t>
    </r>
    <r>
      <rPr>
        <sz val="10"/>
        <color indexed="10"/>
        <rFont val="Arial"/>
        <family val="2"/>
      </rPr>
      <t xml:space="preserve"> (A Favor)</t>
    </r>
  </si>
  <si>
    <t>Infonavit</t>
  </si>
  <si>
    <t>Ahorro</t>
  </si>
  <si>
    <t xml:space="preserve">       ENC. DE LA HACIENDA PUBLICA</t>
  </si>
  <si>
    <t xml:space="preserve">  </t>
  </si>
  <si>
    <t>Maria Taide Rodriguez Santos</t>
  </si>
  <si>
    <t>Aseo Centro de Salud Municipal</t>
  </si>
  <si>
    <t>EF</t>
  </si>
  <si>
    <t>Cristian Alexander Rodriguez Gutierrez</t>
  </si>
  <si>
    <t>Jose de Jesus Vaca Covarrubias</t>
  </si>
  <si>
    <t>Auxiliar Secretario General</t>
  </si>
  <si>
    <t>Recaudadora de Agua Potable</t>
  </si>
  <si>
    <t>Maria del Refugio Sanchez Ortega</t>
  </si>
  <si>
    <t>Irene Oliva Reyes</t>
  </si>
  <si>
    <t>Erica Daniela Plascencia Nava</t>
  </si>
  <si>
    <t>Alma Rosa Sanchez Ortega</t>
  </si>
  <si>
    <t>Imelda Virgen Perez</t>
  </si>
  <si>
    <t>Johnny Alberto Ramos Ureña</t>
  </si>
  <si>
    <t>Operador de Maquinaria</t>
  </si>
  <si>
    <t>Jose Armando Ibarra Becerra</t>
  </si>
  <si>
    <t>Bartolome Ramon Ledezma Curiel</t>
  </si>
  <si>
    <t>Luis Alberto Rivera Ulloa</t>
  </si>
  <si>
    <t>Juan Alfredo Veliz Frias</t>
  </si>
  <si>
    <t>Avelino Trigueros Salazar</t>
  </si>
  <si>
    <t>Jose Carlos Contreras Regalado</t>
  </si>
  <si>
    <t>Paola Esmeralda Flores Cocolan</t>
  </si>
  <si>
    <t>Aseo en el rio</t>
  </si>
  <si>
    <t>MUNICIPIO DE: TEUCHITLÁN JALISCO</t>
  </si>
  <si>
    <t xml:space="preserve">         D   I   E   T   A   S   (111)</t>
  </si>
  <si>
    <t>PERIODO DE PAGO:</t>
  </si>
  <si>
    <t>Otras Deducciones</t>
  </si>
  <si>
    <t xml:space="preserve">Tonantzin Selene Moya Márquez </t>
  </si>
  <si>
    <t>Regidor</t>
  </si>
  <si>
    <t xml:space="preserve">Osvaldo Eliu Reyes Tapia </t>
  </si>
  <si>
    <t xml:space="preserve">María Paloma Rodriguez Reyes </t>
  </si>
  <si>
    <t xml:space="preserve">Cesar Ulises Rodríguez Cortez </t>
  </si>
  <si>
    <t xml:space="preserve">Consuelo Rivera Santos </t>
  </si>
  <si>
    <t xml:space="preserve">Pedro Carrillo Lozano </t>
  </si>
  <si>
    <t xml:space="preserve">Maricela Soledad Rodriguez </t>
  </si>
  <si>
    <t xml:space="preserve">José Santiago Cordero </t>
  </si>
  <si>
    <t xml:space="preserve">Blanca Estela Castillo Anguiano </t>
  </si>
  <si>
    <t>Síndico</t>
  </si>
  <si>
    <t>SALARIOS TOTALES</t>
  </si>
  <si>
    <t>TOTAL EFECTIVO</t>
  </si>
  <si>
    <t>SALARIOS FORTA</t>
  </si>
  <si>
    <t>TOTAL TARJETA</t>
  </si>
  <si>
    <t>Griselda Lara Sanchez</t>
  </si>
  <si>
    <t>Encargado de invernadero municipal</t>
  </si>
  <si>
    <t>Martha Guadalupe Gómez Sánchez</t>
  </si>
  <si>
    <t>Ma. Guadalupe Armenta Virgen</t>
  </si>
  <si>
    <t xml:space="preserve">Angelica Plascencia Ramirez </t>
  </si>
  <si>
    <t>Juan Carlos Sahagún Partida</t>
  </si>
  <si>
    <t xml:space="preserve">Francisco Javier Moran Ballesteros </t>
  </si>
  <si>
    <t>María Guadalupe Hernández Gallegos</t>
  </si>
  <si>
    <t>Beverli Nayeli Valdez Mercado</t>
  </si>
  <si>
    <t>SEGURIDAD PUBLICA</t>
  </si>
  <si>
    <t>Edgar Ulises Sandoval Bautista</t>
  </si>
  <si>
    <t>Sub-Comisario</t>
  </si>
  <si>
    <t>Isaac Lupercio Beas</t>
  </si>
  <si>
    <t>Policía de Línea</t>
  </si>
  <si>
    <t>Jorge Leonardo Castro Garagarza</t>
  </si>
  <si>
    <t>Comandante Operativo</t>
  </si>
  <si>
    <t>Abraham Horacio Campante Viorato</t>
  </si>
  <si>
    <t>Sandra Griselda Maldonado Gómez</t>
  </si>
  <si>
    <t>Rosalio Siordia Flores</t>
  </si>
  <si>
    <t>Cristian Alexis Basilio Tapia</t>
  </si>
  <si>
    <t>Javier Alejandro Solorzano Meza</t>
  </si>
  <si>
    <t>Ma. Nancy Lucrecia Gallegos Alvarez</t>
  </si>
  <si>
    <t>Asistente Administrativa</t>
  </si>
  <si>
    <t>Jesús Durán Enríquez</t>
  </si>
  <si>
    <t>Agente DARE</t>
  </si>
  <si>
    <t>Luis Octavio García Grajeda</t>
  </si>
  <si>
    <t>David Gonzalez Rosales</t>
  </si>
  <si>
    <t>Salvador Alejandro Barajas Torres</t>
  </si>
  <si>
    <t>Rigoberto Gonzalez Romero</t>
  </si>
  <si>
    <t>Samantha Leon Lopez</t>
  </si>
  <si>
    <t>Jonatan Abraham Ruiz Rosales</t>
  </si>
  <si>
    <t>Guadalupe del Consuelo Perez Mancillas</t>
  </si>
  <si>
    <t>Sandra Yamary Anguiano Valdez</t>
  </si>
  <si>
    <t>Jenifer Rosario Nuñez Vargas</t>
  </si>
  <si>
    <t>Andrea Yareli Perez Robles</t>
  </si>
  <si>
    <t>Jose Macario Lopez Alvarez</t>
  </si>
  <si>
    <t>Julian Ramos Mederos</t>
  </si>
  <si>
    <t>María Guadalupe Sierra Camarena</t>
  </si>
  <si>
    <t>PROTECCION CIVIL</t>
  </si>
  <si>
    <t xml:space="preserve">                                     </t>
  </si>
  <si>
    <t>Andrés Hernández Torres</t>
  </si>
  <si>
    <t>Fernando Guadalupe Rodríguez Rosales</t>
  </si>
  <si>
    <t>Médico Municipal</t>
  </si>
  <si>
    <t>Simón Alberto Lara Aguilera</t>
  </si>
  <si>
    <t>Sara Noemi Lopez Ruvalcaba</t>
  </si>
  <si>
    <t>José de Jesús Zepeda Sánchez</t>
  </si>
  <si>
    <t>Paramédico</t>
  </si>
  <si>
    <t>Juan Manuel Tortoledo González</t>
  </si>
  <si>
    <t>Alan Carrillo Estrada</t>
  </si>
  <si>
    <t>Sergio Iván Jiménez Salazar</t>
  </si>
  <si>
    <t>Ricardo Misael López Sánchez</t>
  </si>
  <si>
    <t>Raúl Ávila Zermeño</t>
  </si>
  <si>
    <t>Flor Ramona Núñez García</t>
  </si>
  <si>
    <t>Norberto Oliva Rosales</t>
  </si>
  <si>
    <t>Josué Fabián Orozco Anguiano</t>
  </si>
  <si>
    <t xml:space="preserve">Paramédico </t>
  </si>
  <si>
    <t>Cesar Ismael Sigala Garcia</t>
  </si>
  <si>
    <t>Noel Ramos Luna</t>
  </si>
  <si>
    <t>Angel Ricardo Medina Calvillo</t>
  </si>
  <si>
    <t>Diego Antonio Moreno Maldonado</t>
  </si>
  <si>
    <t>Bombero BRAC</t>
  </si>
  <si>
    <t>Benjamin de Jesús Muñóz Cardona</t>
  </si>
  <si>
    <t>Angel Gabriel Abundiz Hernandez</t>
  </si>
  <si>
    <t>Aldo Flores Bello</t>
  </si>
  <si>
    <t>]</t>
  </si>
  <si>
    <t>Dias</t>
  </si>
  <si>
    <t xml:space="preserve">                                                        C.ALFONSO CHAVEZ SAAVEDRA</t>
  </si>
  <si>
    <t>Alfonso Chavez Saavedra</t>
  </si>
  <si>
    <t>TABLAS PUBLICADAS EL 29 DE DICIEMBRE DE 2023</t>
  </si>
  <si>
    <t>TARIFAS VIGENTES 2024</t>
  </si>
  <si>
    <t>EJERCICIO 2024</t>
  </si>
  <si>
    <t>Jose Guadalupe Rosales Lopez</t>
  </si>
  <si>
    <t>Karina Livier Garcia Gutierrez</t>
  </si>
  <si>
    <t>Auxiliar de Ce-Mujer</t>
  </si>
  <si>
    <t>Omar Ascencion Arreola Ojeda</t>
  </si>
  <si>
    <t>ROST730810MHCDND05</t>
  </si>
  <si>
    <t>Aurea Santos Montes</t>
  </si>
  <si>
    <t>Administrativo</t>
  </si>
  <si>
    <t>Martin Rafael Quiroz Vazquez</t>
  </si>
  <si>
    <t>Miriam Oliva Flores</t>
  </si>
  <si>
    <t>Diana Laura Reynoso Nuñez</t>
  </si>
  <si>
    <t>Maria de los Angeles Vicente Juarez</t>
  </si>
  <si>
    <t>Maria Martha Alicia Salazar Jimenez</t>
  </si>
  <si>
    <t>Juan Antonio Covarrubias Abundiz</t>
  </si>
  <si>
    <t>Directora Part. Ciudadana</t>
  </si>
  <si>
    <t>Ruben Eduardo Garcia Fregoso</t>
  </si>
  <si>
    <t>Estefania Gabriela Cruz Guerrero</t>
  </si>
  <si>
    <t>Carlos Jesus Padilla Ruiz</t>
  </si>
  <si>
    <t>Desarrollo Urbano</t>
  </si>
  <si>
    <t>Roberto Jr Sanchez Rivera</t>
  </si>
  <si>
    <t>Christian Leonel Barajas Gonzalez</t>
  </si>
  <si>
    <t>Juan Francisco Herrera Dillanes</t>
  </si>
  <si>
    <t>Arturo Aviña Ramirez</t>
  </si>
  <si>
    <t>Maria Elena Arias Topete</t>
  </si>
  <si>
    <t>NOMINA DEL 16 AL 31 DE MARZO DEL 2024</t>
  </si>
  <si>
    <t>C. ALFONSO CHAVEZ SAAVEDRA</t>
  </si>
  <si>
    <t xml:space="preserve">                                         PERIODO DE PAGO: PRIMERA QUINCENA DE MARZO DEL 2024</t>
  </si>
  <si>
    <t>PRIMERA QUINCENA DE MARZO DEL 2024</t>
  </si>
  <si>
    <t>NOMINA DEL 01 AL 15 DE MARZO DEL 2024</t>
  </si>
  <si>
    <t>PERIODO DE PAGO: PRIMERA QUINCENA DE MARZO DEL 2024</t>
  </si>
  <si>
    <t>Jose Manuel Anguiano Miramontes</t>
  </si>
  <si>
    <t>Raul Camberos Pizano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</si>
</sst>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  <numFmt numFmtId="166" formatCode="#,##0.00_ ;\-#,##0.00\ "/>
  </numFmts>
  <fonts count="3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b/>
      <sz val="10"/>
      <color indexed="18"/>
      <name val="Verdana"/>
      <family val="2"/>
    </font>
    <font>
      <b/>
      <sz val="8"/>
      <color indexed="10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3.3"/>
      <name val="Arial"/>
      <family val="2"/>
    </font>
    <font>
      <sz val="13.5"/>
      <name val="Arial"/>
      <family val="2"/>
    </font>
    <font>
      <b/>
      <sz val="13.5"/>
      <name val="Arial"/>
      <family val="2"/>
    </font>
    <font>
      <sz val="10"/>
      <name val="Franklin Gothic Heavy"/>
      <family val="2"/>
    </font>
    <font>
      <b/>
      <i/>
      <sz val="9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4"/>
      <name val="Bodoni MT Black"/>
      <family val="1"/>
    </font>
    <font>
      <b/>
      <sz val="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7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3" fillId="0" borderId="0" xfId="0" applyFont="1"/>
    <xf numFmtId="0" fontId="1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fill"/>
    </xf>
    <xf numFmtId="0" fontId="12" fillId="0" borderId="0" xfId="0" applyFont="1" applyAlignment="1">
      <alignment horizontal="fill"/>
    </xf>
    <xf numFmtId="39" fontId="12" fillId="0" borderId="1" xfId="0" applyNumberFormat="1" applyFont="1" applyBorder="1"/>
    <xf numFmtId="10" fontId="12" fillId="0" borderId="1" xfId="0" applyNumberFormat="1" applyFont="1" applyBorder="1"/>
    <xf numFmtId="39" fontId="12" fillId="0" borderId="0" xfId="0" applyNumberFormat="1" applyFont="1"/>
    <xf numFmtId="39" fontId="12" fillId="0" borderId="2" xfId="0" applyNumberFormat="1" applyFont="1" applyBorder="1"/>
    <xf numFmtId="10" fontId="12" fillId="0" borderId="2" xfId="0" applyNumberFormat="1" applyFont="1" applyBorder="1"/>
    <xf numFmtId="0" fontId="12" fillId="0" borderId="2" xfId="0" applyFont="1" applyBorder="1"/>
    <xf numFmtId="0" fontId="14" fillId="0" borderId="0" xfId="0" applyFont="1"/>
    <xf numFmtId="0" fontId="13" fillId="0" borderId="0" xfId="0" applyFont="1" applyProtection="1">
      <protection locked="0"/>
    </xf>
    <xf numFmtId="39" fontId="12" fillId="0" borderId="1" xfId="0" applyNumberFormat="1" applyFont="1" applyBorder="1" applyProtection="1">
      <protection locked="0"/>
    </xf>
    <xf numFmtId="10" fontId="12" fillId="0" borderId="1" xfId="0" applyNumberFormat="1" applyFont="1" applyBorder="1" applyProtection="1">
      <protection locked="0"/>
    </xf>
    <xf numFmtId="0" fontId="16" fillId="0" borderId="0" xfId="0" applyFont="1"/>
    <xf numFmtId="165" fontId="3" fillId="0" borderId="0" xfId="0" applyNumberFormat="1" applyFont="1"/>
    <xf numFmtId="0" fontId="18" fillId="0" borderId="0" xfId="0" applyFont="1"/>
    <xf numFmtId="0" fontId="2" fillId="0" borderId="0" xfId="0" applyFont="1"/>
    <xf numFmtId="43" fontId="17" fillId="0" borderId="0" xfId="2" applyFont="1" applyFill="1" applyProtection="1"/>
    <xf numFmtId="0" fontId="17" fillId="0" borderId="0" xfId="0" applyFont="1"/>
    <xf numFmtId="43" fontId="1" fillId="0" borderId="0" xfId="2" applyFont="1" applyFill="1" applyProtection="1"/>
    <xf numFmtId="43" fontId="2" fillId="0" borderId="0" xfId="2" applyFont="1" applyFill="1" applyProtection="1"/>
    <xf numFmtId="165" fontId="17" fillId="0" borderId="0" xfId="0" applyNumberFormat="1" applyFont="1"/>
    <xf numFmtId="2" fontId="1" fillId="0" borderId="0" xfId="0" applyNumberFormat="1" applyFont="1"/>
    <xf numFmtId="0" fontId="17" fillId="2" borderId="0" xfId="0" applyFont="1" applyFill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8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3" fontId="2" fillId="0" borderId="4" xfId="2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 wrapText="1"/>
    </xf>
    <xf numFmtId="1" fontId="2" fillId="0" borderId="0" xfId="2" applyNumberFormat="1" applyFont="1" applyFill="1" applyBorder="1" applyAlignment="1" applyProtection="1">
      <alignment horizontal="center" vertical="center"/>
    </xf>
    <xf numFmtId="165" fontId="2" fillId="0" borderId="6" xfId="2" applyNumberFormat="1" applyFont="1" applyFill="1" applyBorder="1" applyAlignment="1" applyProtection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 vertical="center"/>
    </xf>
    <xf numFmtId="43" fontId="2" fillId="0" borderId="4" xfId="2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  <protection locked="0"/>
    </xf>
    <xf numFmtId="165" fontId="19" fillId="0" borderId="4" xfId="0" applyNumberFormat="1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18" fillId="0" borderId="4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horizontal="center" wrapText="1"/>
    </xf>
    <xf numFmtId="0" fontId="1" fillId="3" borderId="0" xfId="0" applyFont="1" applyFill="1"/>
    <xf numFmtId="0" fontId="17" fillId="3" borderId="0" xfId="0" applyFont="1" applyFill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43" fontId="1" fillId="0" borderId="0" xfId="2" applyFont="1" applyFill="1" applyBorder="1" applyProtection="1"/>
    <xf numFmtId="43" fontId="1" fillId="0" borderId="0" xfId="2" applyFont="1" applyFill="1" applyBorder="1" applyAlignment="1" applyProtection="1">
      <alignment horizontal="center"/>
    </xf>
    <xf numFmtId="43" fontId="2" fillId="0" borderId="0" xfId="2" applyFont="1" applyFill="1" applyBorder="1" applyAlignment="1" applyProtection="1">
      <alignment horizontal="center"/>
    </xf>
    <xf numFmtId="43" fontId="19" fillId="0" borderId="0" xfId="2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23" xfId="0" applyFont="1" applyBorder="1"/>
    <xf numFmtId="0" fontId="23" fillId="0" borderId="0" xfId="0" applyFont="1" applyAlignment="1">
      <alignment vertical="center"/>
    </xf>
    <xf numFmtId="0" fontId="1" fillId="0" borderId="22" xfId="0" applyFont="1" applyBorder="1"/>
    <xf numFmtId="0" fontId="1" fillId="0" borderId="31" xfId="0" applyFont="1" applyBorder="1"/>
    <xf numFmtId="0" fontId="1" fillId="0" borderId="16" xfId="0" applyFont="1" applyBorder="1"/>
    <xf numFmtId="2" fontId="1" fillId="0" borderId="16" xfId="0" applyNumberFormat="1" applyFont="1" applyBorder="1"/>
    <xf numFmtId="0" fontId="18" fillId="0" borderId="4" xfId="0" applyFont="1" applyBorder="1" applyAlignment="1" applyProtection="1">
      <alignment horizontal="left" vertical="center" wrapText="1"/>
      <protection locked="0"/>
    </xf>
    <xf numFmtId="43" fontId="18" fillId="0" borderId="4" xfId="2" applyFont="1" applyBorder="1" applyAlignment="1" applyProtection="1">
      <alignment horizontal="center" vertical="center" wrapText="1"/>
      <protection locked="0"/>
    </xf>
    <xf numFmtId="43" fontId="18" fillId="0" borderId="4" xfId="2" applyFont="1" applyFill="1" applyBorder="1" applyAlignment="1" applyProtection="1">
      <alignment horizontal="center" vertical="center" wrapText="1"/>
    </xf>
    <xf numFmtId="43" fontId="18" fillId="0" borderId="4" xfId="2" applyFont="1" applyFill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>
      <alignment horizontal="left" vertical="center"/>
    </xf>
    <xf numFmtId="43" fontId="19" fillId="0" borderId="4" xfId="2" applyFont="1" applyFill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left" vertical="center"/>
      <protection locked="0"/>
    </xf>
    <xf numFmtId="43" fontId="19" fillId="0" borderId="4" xfId="2" applyFont="1" applyBorder="1" applyAlignment="1" applyProtection="1">
      <alignment horizontal="center" vertical="center" wrapText="1"/>
      <protection locked="0"/>
    </xf>
    <xf numFmtId="0" fontId="19" fillId="4" borderId="2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2" fontId="19" fillId="4" borderId="3" xfId="0" applyNumberFormat="1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165" fontId="18" fillId="0" borderId="25" xfId="2" applyNumberFormat="1" applyFont="1" applyFill="1" applyBorder="1" applyAlignment="1" applyProtection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43" fontId="19" fillId="0" borderId="25" xfId="2" applyFont="1" applyFill="1" applyBorder="1" applyAlignment="1" applyProtection="1">
      <alignment horizontal="center" vertical="center" wrapText="1"/>
    </xf>
    <xf numFmtId="43" fontId="18" fillId="0" borderId="25" xfId="2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3" fontId="19" fillId="0" borderId="0" xfId="2" applyFont="1" applyFill="1" applyBorder="1" applyAlignment="1" applyProtection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43" fontId="19" fillId="0" borderId="23" xfId="2" applyFont="1" applyFill="1" applyBorder="1" applyAlignment="1" applyProtection="1">
      <alignment horizontal="center" vertical="center" wrapText="1"/>
    </xf>
    <xf numFmtId="43" fontId="3" fillId="0" borderId="4" xfId="2" applyFont="1" applyFill="1" applyBorder="1" applyAlignment="1" applyProtection="1">
      <alignment horizontal="center" vertical="center"/>
    </xf>
    <xf numFmtId="43" fontId="9" fillId="0" borderId="4" xfId="2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8" fillId="4" borderId="27" xfId="0" applyFont="1" applyFill="1" applyBorder="1" applyAlignment="1">
      <alignment horizontal="center" vertical="center" wrapText="1"/>
    </xf>
    <xf numFmtId="43" fontId="3" fillId="0" borderId="25" xfId="2" applyFont="1" applyFill="1" applyBorder="1" applyAlignment="1" applyProtection="1">
      <alignment horizontal="center" vertical="center"/>
      <protection locked="0"/>
    </xf>
    <xf numFmtId="43" fontId="9" fillId="0" borderId="25" xfId="2" applyFont="1" applyFill="1" applyBorder="1" applyAlignment="1" applyProtection="1">
      <alignment horizontal="center" vertical="center"/>
    </xf>
    <xf numFmtId="165" fontId="3" fillId="0" borderId="25" xfId="2" applyNumberFormat="1" applyFont="1" applyFill="1" applyBorder="1" applyAlignment="1" applyProtection="1">
      <alignment horizontal="center" vertical="center"/>
      <protection locked="0"/>
    </xf>
    <xf numFmtId="165" fontId="19" fillId="0" borderId="23" xfId="2" applyNumberFormat="1" applyFont="1" applyFill="1" applyBorder="1" applyAlignment="1" applyProtection="1">
      <alignment horizontal="center" vertical="center"/>
    </xf>
    <xf numFmtId="0" fontId="18" fillId="0" borderId="23" xfId="0" applyFont="1" applyBorder="1"/>
    <xf numFmtId="0" fontId="18" fillId="0" borderId="16" xfId="0" applyFont="1" applyBorder="1"/>
    <xf numFmtId="0" fontId="17" fillId="0" borderId="20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2" fontId="18" fillId="0" borderId="4" xfId="2" applyNumberFormat="1" applyFont="1" applyFill="1" applyBorder="1" applyAlignment="1" applyProtection="1">
      <alignment horizontal="center" vertical="center" wrapText="1"/>
    </xf>
    <xf numFmtId="2" fontId="19" fillId="0" borderId="4" xfId="2" applyNumberFormat="1" applyFont="1" applyFill="1" applyBorder="1" applyAlignment="1" applyProtection="1">
      <alignment horizontal="center" vertical="center" wrapText="1"/>
    </xf>
    <xf numFmtId="2" fontId="18" fillId="0" borderId="4" xfId="2" applyNumberFormat="1" applyFont="1" applyFill="1" applyBorder="1" applyAlignment="1" applyProtection="1">
      <alignment horizontal="center" vertical="center" wrapText="1"/>
      <protection locked="0"/>
    </xf>
    <xf numFmtId="43" fontId="18" fillId="0" borderId="0" xfId="0" applyNumberFormat="1" applyFont="1"/>
    <xf numFmtId="2" fontId="18" fillId="0" borderId="0" xfId="0" applyNumberFormat="1" applyFont="1"/>
    <xf numFmtId="0" fontId="19" fillId="0" borderId="0" xfId="0" applyFont="1" applyAlignment="1">
      <alignment horizontal="left" vertical="center" wrapText="1"/>
    </xf>
    <xf numFmtId="165" fontId="18" fillId="0" borderId="4" xfId="2" applyNumberFormat="1" applyFont="1" applyFill="1" applyBorder="1" applyAlignment="1" applyProtection="1">
      <alignment horizontal="right" vertical="center"/>
      <protection hidden="1"/>
    </xf>
    <xf numFmtId="0" fontId="2" fillId="0" borderId="4" xfId="0" applyFont="1" applyBorder="1" applyAlignment="1">
      <alignment horizontal="center" vertical="center" wrapText="1"/>
    </xf>
    <xf numFmtId="165" fontId="18" fillId="0" borderId="4" xfId="2" applyNumberFormat="1" applyFont="1" applyFill="1" applyBorder="1" applyAlignment="1" applyProtection="1">
      <alignment horizontal="center" vertical="center"/>
      <protection hidden="1"/>
    </xf>
    <xf numFmtId="2" fontId="3" fillId="0" borderId="4" xfId="2" applyNumberFormat="1" applyFont="1" applyFill="1" applyBorder="1" applyAlignment="1" applyProtection="1">
      <alignment horizontal="center" vertical="center"/>
    </xf>
    <xf numFmtId="2" fontId="9" fillId="0" borderId="4" xfId="2" applyNumberFormat="1" applyFont="1" applyFill="1" applyBorder="1" applyAlignment="1" applyProtection="1">
      <alignment horizontal="center" vertical="center"/>
    </xf>
    <xf numFmtId="0" fontId="8" fillId="0" borderId="0" xfId="0" applyFont="1"/>
    <xf numFmtId="165" fontId="1" fillId="0" borderId="34" xfId="2" applyNumberFormat="1" applyFont="1" applyFill="1" applyBorder="1" applyAlignment="1" applyProtection="1">
      <alignment horizontal="center"/>
    </xf>
    <xf numFmtId="166" fontId="1" fillId="0" borderId="34" xfId="2" applyNumberFormat="1" applyFont="1" applyFill="1" applyBorder="1" applyAlignment="1" applyProtection="1">
      <alignment horizontal="center"/>
      <protection locked="0"/>
    </xf>
    <xf numFmtId="165" fontId="1" fillId="0" borderId="34" xfId="2" applyNumberFormat="1" applyFont="1" applyFill="1" applyBorder="1" applyAlignment="1" applyProtection="1">
      <alignment horizontal="center"/>
      <protection locked="0"/>
    </xf>
    <xf numFmtId="2" fontId="1" fillId="0" borderId="0" xfId="2" applyNumberFormat="1" applyFont="1" applyFill="1" applyBorder="1" applyAlignment="1" applyProtection="1">
      <alignment horizontal="center"/>
    </xf>
    <xf numFmtId="10" fontId="1" fillId="0" borderId="34" xfId="5" applyNumberFormat="1" applyFont="1" applyFill="1" applyBorder="1" applyAlignment="1" applyProtection="1">
      <alignment horizontal="center"/>
    </xf>
    <xf numFmtId="1" fontId="1" fillId="0" borderId="0" xfId="2" applyNumberFormat="1" applyFont="1" applyFill="1" applyBorder="1" applyAlignment="1" applyProtection="1">
      <alignment horizontal="center"/>
    </xf>
    <xf numFmtId="165" fontId="1" fillId="0" borderId="4" xfId="2" applyNumberFormat="1" applyFont="1" applyFill="1" applyBorder="1" applyAlignment="1" applyProtection="1">
      <alignment horizontal="center"/>
      <protection locked="0"/>
    </xf>
    <xf numFmtId="165" fontId="1" fillId="0" borderId="0" xfId="2" applyNumberFormat="1" applyFont="1" applyFill="1" applyBorder="1" applyAlignment="1" applyProtection="1">
      <alignment horizontal="center"/>
    </xf>
    <xf numFmtId="165" fontId="1" fillId="0" borderId="4" xfId="2" applyNumberFormat="1" applyFont="1" applyFill="1" applyBorder="1" applyAlignment="1" applyProtection="1">
      <alignment horizontal="center"/>
    </xf>
    <xf numFmtId="43" fontId="2" fillId="0" borderId="1" xfId="2" applyFont="1" applyBorder="1" applyAlignment="1" applyProtection="1">
      <alignment horizontal="center"/>
    </xf>
    <xf numFmtId="0" fontId="2" fillId="0" borderId="3" xfId="0" applyFont="1" applyBorder="1" applyAlignment="1">
      <alignment horizontal="center"/>
    </xf>
    <xf numFmtId="165" fontId="0" fillId="0" borderId="0" xfId="0" applyNumberFormat="1"/>
    <xf numFmtId="165" fontId="1" fillId="0" borderId="4" xfId="2" applyNumberFormat="1" applyFont="1" applyFill="1" applyBorder="1" applyAlignment="1" applyProtection="1">
      <alignment horizontal="center" vertical="center"/>
    </xf>
    <xf numFmtId="0" fontId="0" fillId="0" borderId="4" xfId="0" applyBorder="1"/>
    <xf numFmtId="44" fontId="7" fillId="0" borderId="0" xfId="6" applyFont="1" applyFill="1" applyAlignment="1" applyProtection="1">
      <alignment horizontal="center" vertical="center"/>
    </xf>
    <xf numFmtId="43" fontId="1" fillId="0" borderId="0" xfId="2" applyFont="1" applyFill="1" applyAlignment="1" applyProtection="1">
      <alignment horizontal="center" vertical="center"/>
    </xf>
    <xf numFmtId="0" fontId="7" fillId="0" borderId="0" xfId="0" applyFont="1"/>
    <xf numFmtId="0" fontId="1" fillId="0" borderId="4" xfId="0" applyFont="1" applyBorder="1"/>
    <xf numFmtId="43" fontId="7" fillId="0" borderId="0" xfId="2" applyFont="1" applyFill="1" applyProtection="1"/>
    <xf numFmtId="165" fontId="7" fillId="0" borderId="0" xfId="0" applyNumberFormat="1" applyFont="1"/>
    <xf numFmtId="165" fontId="27" fillId="0" borderId="0" xfId="0" applyNumberFormat="1" applyFont="1"/>
    <xf numFmtId="165" fontId="1" fillId="0" borderId="2" xfId="2" applyNumberFormat="1" applyFont="1" applyFill="1" applyBorder="1" applyAlignment="1" applyProtection="1">
      <alignment horizontal="center" vertical="center"/>
    </xf>
    <xf numFmtId="44" fontId="8" fillId="0" borderId="0" xfId="6" applyFont="1" applyFill="1" applyBorder="1" applyAlignment="1" applyProtection="1">
      <alignment horizontal="center" vertical="center"/>
    </xf>
    <xf numFmtId="44" fontId="8" fillId="0" borderId="6" xfId="6" applyFont="1" applyFill="1" applyBorder="1" applyAlignment="1" applyProtection="1">
      <alignment horizontal="center" vertical="center"/>
    </xf>
    <xf numFmtId="44" fontId="7" fillId="0" borderId="16" xfId="6" applyFont="1" applyFill="1" applyBorder="1" applyAlignment="1" applyProtection="1">
      <alignment horizontal="center" vertical="center"/>
    </xf>
    <xf numFmtId="44" fontId="7" fillId="0" borderId="0" xfId="6" applyFont="1" applyFill="1" applyAlignment="1" applyProtection="1">
      <alignment horizontal="center"/>
    </xf>
    <xf numFmtId="43" fontId="1" fillId="0" borderId="0" xfId="2" applyFont="1" applyFill="1" applyAlignment="1" applyProtection="1">
      <alignment horizontal="center"/>
    </xf>
    <xf numFmtId="44" fontId="7" fillId="0" borderId="0" xfId="6" applyFont="1" applyFill="1" applyAlignment="1">
      <alignment horizontal="center"/>
    </xf>
    <xf numFmtId="44" fontId="7" fillId="0" borderId="0" xfId="6" applyFont="1" applyFill="1"/>
    <xf numFmtId="44" fontId="7" fillId="0" borderId="0" xfId="6" applyFont="1" applyFill="1" applyProtection="1"/>
    <xf numFmtId="165" fontId="0" fillId="3" borderId="0" xfId="0" applyNumberFormat="1" applyFill="1"/>
    <xf numFmtId="44" fontId="1" fillId="0" borderId="0" xfId="4" applyFont="1" applyAlignment="1">
      <alignment horizontal="center" vertical="center"/>
    </xf>
    <xf numFmtId="44" fontId="2" fillId="0" borderId="19" xfId="4" applyFont="1" applyBorder="1" applyAlignment="1" applyProtection="1">
      <alignment horizontal="center" vertical="center"/>
    </xf>
    <xf numFmtId="44" fontId="1" fillId="0" borderId="16" xfId="4" applyFont="1" applyBorder="1" applyAlignment="1">
      <alignment horizontal="center" vertical="center"/>
    </xf>
    <xf numFmtId="44" fontId="1" fillId="0" borderId="0" xfId="4" applyFont="1" applyAlignment="1">
      <alignment horizontal="center"/>
    </xf>
    <xf numFmtId="44" fontId="2" fillId="0" borderId="3" xfId="4" applyFont="1" applyBorder="1" applyAlignment="1">
      <alignment horizontal="center" wrapText="1"/>
    </xf>
    <xf numFmtId="44" fontId="2" fillId="0" borderId="1" xfId="4" applyFont="1" applyBorder="1" applyAlignment="1">
      <alignment horizontal="center" wrapText="1"/>
    </xf>
    <xf numFmtId="44" fontId="2" fillId="0" borderId="2" xfId="4" applyFont="1" applyBorder="1" applyAlignment="1">
      <alignment horizontal="center" wrapText="1"/>
    </xf>
    <xf numFmtId="44" fontId="2" fillId="0" borderId="19" xfId="4" applyFont="1" applyBorder="1" applyAlignment="1" applyProtection="1">
      <alignment horizontal="center"/>
    </xf>
    <xf numFmtId="44" fontId="1" fillId="0" borderId="0" xfId="4" applyFont="1"/>
    <xf numFmtId="43" fontId="3" fillId="0" borderId="4" xfId="2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9" fillId="4" borderId="15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43" fontId="19" fillId="0" borderId="4" xfId="2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165" fontId="3" fillId="0" borderId="4" xfId="0" applyNumberFormat="1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>
      <alignment horizontal="left" vertical="center" wrapText="1"/>
    </xf>
    <xf numFmtId="43" fontId="3" fillId="0" borderId="15" xfId="2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3" fontId="3" fillId="0" borderId="4" xfId="2" applyFont="1" applyFill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165" fontId="9" fillId="0" borderId="4" xfId="2" applyNumberFormat="1" applyFont="1" applyFill="1" applyBorder="1" applyAlignment="1" applyProtection="1">
      <alignment horizontal="center" vertical="center"/>
    </xf>
    <xf numFmtId="0" fontId="3" fillId="0" borderId="22" xfId="0" applyFont="1" applyBorder="1"/>
    <xf numFmtId="0" fontId="6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center" wrapText="1"/>
    </xf>
    <xf numFmtId="0" fontId="18" fillId="0" borderId="32" xfId="0" applyFont="1" applyBorder="1"/>
    <xf numFmtId="0" fontId="21" fillId="0" borderId="4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165" fontId="1" fillId="0" borderId="4" xfId="0" applyNumberFormat="1" applyFont="1" applyBorder="1" applyAlignment="1" applyProtection="1">
      <alignment horizontal="center" vertical="center"/>
      <protection locked="0"/>
    </xf>
    <xf numFmtId="165" fontId="1" fillId="0" borderId="4" xfId="2" applyNumberFormat="1" applyFont="1" applyFill="1" applyBorder="1" applyAlignment="1" applyProtection="1">
      <alignment horizontal="center" vertical="center"/>
      <protection locked="0"/>
    </xf>
    <xf numFmtId="1" fontId="1" fillId="0" borderId="4" xfId="2" applyNumberFormat="1" applyFont="1" applyFill="1" applyBorder="1" applyAlignment="1" applyProtection="1">
      <alignment horizontal="center" vertical="center"/>
    </xf>
    <xf numFmtId="10" fontId="1" fillId="0" borderId="4" xfId="5" applyNumberFormat="1" applyFont="1" applyFill="1" applyBorder="1" applyAlignment="1" applyProtection="1">
      <alignment horizontal="center" vertical="center"/>
    </xf>
    <xf numFmtId="2" fontId="1" fillId="0" borderId="4" xfId="2" applyNumberFormat="1" applyFont="1" applyFill="1" applyBorder="1" applyAlignment="1" applyProtection="1">
      <alignment horizontal="center" vertical="center"/>
    </xf>
    <xf numFmtId="166" fontId="1" fillId="0" borderId="4" xfId="2" applyNumberFormat="1" applyFont="1" applyFill="1" applyBorder="1" applyAlignment="1" applyProtection="1">
      <alignment horizontal="center" vertical="center"/>
      <protection locked="0"/>
    </xf>
    <xf numFmtId="44" fontId="7" fillId="0" borderId="4" xfId="6" applyFont="1" applyFill="1" applyBorder="1" applyAlignment="1" applyProtection="1">
      <alignment horizontal="center" vertical="center"/>
    </xf>
    <xf numFmtId="0" fontId="21" fillId="0" borderId="4" xfId="0" applyFont="1" applyBorder="1" applyAlignment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  <protection locked="0"/>
    </xf>
    <xf numFmtId="44" fontId="1" fillId="0" borderId="4" xfId="4" applyFont="1" applyFill="1" applyBorder="1" applyAlignment="1" applyProtection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165" fontId="1" fillId="0" borderId="4" xfId="0" applyNumberFormat="1" applyFont="1" applyBorder="1" applyAlignment="1" applyProtection="1">
      <alignment horizontal="center"/>
      <protection locked="0"/>
    </xf>
    <xf numFmtId="44" fontId="1" fillId="0" borderId="4" xfId="4" applyFont="1" applyFill="1" applyBorder="1" applyAlignment="1" applyProtection="1">
      <alignment horizontal="center"/>
    </xf>
    <xf numFmtId="43" fontId="3" fillId="0" borderId="0" xfId="0" applyNumberFormat="1" applyFont="1"/>
    <xf numFmtId="0" fontId="19" fillId="0" borderId="17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17" xfId="0" applyFont="1" applyBorder="1"/>
    <xf numFmtId="0" fontId="1" fillId="0" borderId="17" xfId="0" applyFont="1" applyBorder="1" applyAlignment="1">
      <alignment vertical="center" wrapText="1"/>
    </xf>
    <xf numFmtId="2" fontId="1" fillId="0" borderId="17" xfId="0" applyNumberFormat="1" applyFont="1" applyBorder="1"/>
    <xf numFmtId="0" fontId="1" fillId="0" borderId="21" xfId="0" applyFont="1" applyBorder="1"/>
    <xf numFmtId="0" fontId="1" fillId="0" borderId="22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23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2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43" fontId="1" fillId="0" borderId="0" xfId="2" applyFont="1" applyProtection="1"/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vertical="center" wrapText="1"/>
      <protection locked="0"/>
    </xf>
    <xf numFmtId="43" fontId="1" fillId="0" borderId="4" xfId="2" applyFont="1" applyFill="1" applyBorder="1" applyAlignment="1" applyProtection="1">
      <alignment horizontal="center" vertical="center" wrapText="1"/>
    </xf>
    <xf numFmtId="43" fontId="1" fillId="0" borderId="4" xfId="2" applyFont="1" applyBorder="1" applyAlignment="1" applyProtection="1">
      <alignment horizontal="center" vertical="center" wrapText="1"/>
      <protection locked="0"/>
    </xf>
    <xf numFmtId="165" fontId="1" fillId="0" borderId="4" xfId="2" applyNumberFormat="1" applyFont="1" applyFill="1" applyBorder="1" applyAlignment="1" applyProtection="1">
      <alignment horizontal="right" vertical="center"/>
      <protection hidden="1"/>
    </xf>
    <xf numFmtId="165" fontId="1" fillId="0" borderId="4" xfId="2" applyNumberFormat="1" applyFont="1" applyFill="1" applyBorder="1" applyAlignment="1" applyProtection="1">
      <alignment horizontal="center" vertical="center"/>
      <protection hidden="1"/>
    </xf>
    <xf numFmtId="165" fontId="1" fillId="0" borderId="4" xfId="2" applyNumberFormat="1" applyFont="1" applyFill="1" applyBorder="1" applyAlignment="1" applyProtection="1">
      <alignment horizontal="center" vertical="center" wrapText="1"/>
      <protection locked="0"/>
    </xf>
    <xf numFmtId="165" fontId="1" fillId="0" borderId="13" xfId="2" applyNumberFormat="1" applyFont="1" applyFill="1" applyBorder="1" applyAlignment="1" applyProtection="1">
      <alignment horizontal="center" vertical="center" wrapText="1"/>
    </xf>
    <xf numFmtId="165" fontId="1" fillId="0" borderId="25" xfId="2" applyNumberFormat="1" applyFont="1" applyFill="1" applyBorder="1" applyAlignment="1" applyProtection="1">
      <alignment horizontal="center" vertical="center" wrapText="1"/>
    </xf>
    <xf numFmtId="43" fontId="19" fillId="0" borderId="14" xfId="2" applyFont="1" applyBorder="1" applyAlignment="1" applyProtection="1">
      <alignment horizontal="center" vertical="center" wrapText="1"/>
    </xf>
    <xf numFmtId="43" fontId="19" fillId="0" borderId="30" xfId="2" applyFont="1" applyBorder="1" applyAlignment="1" applyProtection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43" fontId="1" fillId="0" borderId="23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32" xfId="0" applyFont="1" applyBorder="1"/>
    <xf numFmtId="0" fontId="1" fillId="0" borderId="0" xfId="0" applyFont="1" applyAlignment="1">
      <alignment vertical="center" wrapText="1"/>
    </xf>
    <xf numFmtId="165" fontId="1" fillId="0" borderId="0" xfId="0" applyNumberFormat="1" applyFont="1"/>
    <xf numFmtId="43" fontId="1" fillId="0" borderId="0" xfId="0" applyNumberFormat="1" applyFont="1"/>
    <xf numFmtId="43" fontId="17" fillId="0" borderId="0" xfId="2" applyFont="1" applyFill="1" applyBorder="1" applyProtection="1"/>
    <xf numFmtId="43" fontId="2" fillId="0" borderId="0" xfId="2" applyFont="1" applyFill="1" applyBorder="1" applyProtection="1"/>
    <xf numFmtId="0" fontId="1" fillId="0" borderId="17" xfId="0" applyFont="1" applyBorder="1" applyAlignment="1">
      <alignment vertical="center"/>
    </xf>
    <xf numFmtId="2" fontId="18" fillId="0" borderId="17" xfId="0" applyNumberFormat="1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0" xfId="0" applyFont="1" applyAlignment="1">
      <alignment vertical="center"/>
    </xf>
    <xf numFmtId="2" fontId="18" fillId="0" borderId="0" xfId="0" applyNumberFormat="1" applyFont="1" applyAlignment="1">
      <alignment vertical="center"/>
    </xf>
    <xf numFmtId="2" fontId="19" fillId="4" borderId="4" xfId="0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vertical="center"/>
      <protection locked="0"/>
    </xf>
    <xf numFmtId="165" fontId="18" fillId="0" borderId="4" xfId="0" applyNumberFormat="1" applyFont="1" applyBorder="1" applyAlignment="1" applyProtection="1">
      <alignment horizontal="center" vertical="center"/>
      <protection locked="0"/>
    </xf>
    <xf numFmtId="165" fontId="18" fillId="0" borderId="4" xfId="2" applyNumberFormat="1" applyFont="1" applyFill="1" applyBorder="1" applyAlignment="1" applyProtection="1">
      <alignment horizontal="center" vertical="center"/>
    </xf>
    <xf numFmtId="165" fontId="18" fillId="0" borderId="4" xfId="2" applyNumberFormat="1" applyFont="1" applyFill="1" applyBorder="1" applyAlignment="1" applyProtection="1">
      <alignment horizontal="center" vertical="center"/>
      <protection locked="0"/>
    </xf>
    <xf numFmtId="165" fontId="18" fillId="0" borderId="25" xfId="2" applyNumberFormat="1" applyFont="1" applyFill="1" applyBorder="1" applyAlignment="1" applyProtection="1">
      <alignment horizontal="center" vertical="center"/>
      <protection locked="0"/>
    </xf>
    <xf numFmtId="165" fontId="18" fillId="0" borderId="4" xfId="0" applyNumberFormat="1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  <xf numFmtId="1" fontId="19" fillId="0" borderId="0" xfId="2" applyNumberFormat="1" applyFont="1" applyFill="1" applyBorder="1" applyAlignment="1" applyProtection="1">
      <alignment horizontal="center" vertical="center"/>
    </xf>
    <xf numFmtId="2" fontId="19" fillId="0" borderId="0" xfId="2" applyNumberFormat="1" applyFont="1" applyFill="1" applyBorder="1" applyAlignment="1" applyProtection="1">
      <alignment horizontal="center" vertical="center"/>
    </xf>
    <xf numFmtId="1" fontId="19" fillId="0" borderId="23" xfId="2" applyNumberFormat="1" applyFont="1" applyFill="1" applyBorder="1" applyAlignment="1" applyProtection="1">
      <alignment horizontal="center" vertical="center"/>
    </xf>
    <xf numFmtId="165" fontId="19" fillId="0" borderId="6" xfId="2" applyNumberFormat="1" applyFont="1" applyFill="1" applyBorder="1" applyAlignment="1" applyProtection="1">
      <alignment horizontal="center" vertical="center"/>
    </xf>
    <xf numFmtId="2" fontId="19" fillId="0" borderId="6" xfId="2" applyNumberFormat="1" applyFont="1" applyFill="1" applyBorder="1" applyAlignment="1" applyProtection="1">
      <alignment horizontal="center" vertical="center"/>
    </xf>
    <xf numFmtId="165" fontId="19" fillId="0" borderId="37" xfId="2" applyNumberFormat="1" applyFont="1" applyFill="1" applyBorder="1" applyAlignment="1" applyProtection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43" fontId="18" fillId="0" borderId="0" xfId="2" applyFont="1" applyBorder="1" applyAlignment="1">
      <alignment horizontal="center" vertical="center"/>
    </xf>
    <xf numFmtId="165" fontId="18" fillId="0" borderId="23" xfId="0" applyNumberFormat="1" applyFont="1" applyBorder="1" applyAlignment="1">
      <alignment horizontal="center" vertical="center"/>
    </xf>
    <xf numFmtId="165" fontId="18" fillId="0" borderId="0" xfId="0" applyNumberFormat="1" applyFont="1"/>
    <xf numFmtId="0" fontId="1" fillId="0" borderId="4" xfId="0" applyFont="1" applyBorder="1" applyAlignment="1" applyProtection="1">
      <alignment horizontal="left" vertical="center"/>
      <protection locked="0"/>
    </xf>
    <xf numFmtId="43" fontId="1" fillId="0" borderId="4" xfId="2" applyFont="1" applyFill="1" applyBorder="1" applyAlignment="1" applyProtection="1">
      <alignment horizontal="right" vertical="center"/>
      <protection locked="0"/>
    </xf>
    <xf numFmtId="43" fontId="1" fillId="0" borderId="4" xfId="2" applyFont="1" applyFill="1" applyBorder="1" applyAlignment="1" applyProtection="1">
      <alignment horizontal="right" vertical="center"/>
    </xf>
    <xf numFmtId="2" fontId="1" fillId="0" borderId="4" xfId="2" applyNumberFormat="1" applyFont="1" applyFill="1" applyBorder="1" applyAlignment="1" applyProtection="1">
      <alignment horizontal="right" vertical="center"/>
      <protection locked="0"/>
    </xf>
    <xf numFmtId="165" fontId="1" fillId="0" borderId="25" xfId="2" applyNumberFormat="1" applyFont="1" applyFill="1" applyBorder="1" applyAlignment="1" applyProtection="1">
      <alignment horizontal="right" vertical="center"/>
    </xf>
    <xf numFmtId="165" fontId="2" fillId="0" borderId="4" xfId="2" applyNumberFormat="1" applyFont="1" applyFill="1" applyBorder="1" applyAlignment="1" applyProtection="1">
      <alignment horizontal="right" vertical="center"/>
    </xf>
    <xf numFmtId="165" fontId="2" fillId="0" borderId="25" xfId="2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vertical="center" wrapText="1"/>
    </xf>
    <xf numFmtId="165" fontId="18" fillId="0" borderId="23" xfId="0" applyNumberFormat="1" applyFont="1" applyBorder="1" applyAlignment="1">
      <alignment vertical="center"/>
    </xf>
    <xf numFmtId="165" fontId="18" fillId="0" borderId="0" xfId="0" applyNumberFormat="1" applyFont="1" applyAlignment="1">
      <alignment vertical="center"/>
    </xf>
    <xf numFmtId="43" fontId="18" fillId="0" borderId="23" xfId="2" applyFont="1" applyBorder="1" applyAlignment="1">
      <alignment vertical="center"/>
    </xf>
    <xf numFmtId="0" fontId="18" fillId="0" borderId="0" xfId="0" applyFont="1" applyAlignment="1">
      <alignment horizontal="center"/>
    </xf>
    <xf numFmtId="43" fontId="18" fillId="0" borderId="23" xfId="2" applyFont="1" applyBorder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2" fontId="18" fillId="0" borderId="4" xfId="2" applyNumberFormat="1" applyFont="1" applyFill="1" applyBorder="1" applyAlignment="1" applyProtection="1">
      <alignment horizontal="center" vertical="center"/>
    </xf>
    <xf numFmtId="43" fontId="18" fillId="0" borderId="4" xfId="2" applyFont="1" applyFill="1" applyBorder="1" applyAlignment="1" applyProtection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0" fontId="18" fillId="0" borderId="4" xfId="0" applyFont="1" applyBorder="1" applyAlignment="1" applyProtection="1">
      <alignment horizontal="right" vertical="center" wrapText="1"/>
      <protection locked="0"/>
    </xf>
    <xf numFmtId="0" fontId="18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18" fillId="0" borderId="1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6" xfId="0" applyFont="1" applyBorder="1" applyAlignment="1">
      <alignment vertical="center" wrapText="1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28" fillId="0" borderId="0" xfId="0" applyFont="1" applyAlignment="1">
      <alignment horizontal="left"/>
    </xf>
    <xf numFmtId="0" fontId="28" fillId="0" borderId="23" xfId="0" applyFont="1" applyBorder="1" applyAlignment="1">
      <alignment horizontal="left"/>
    </xf>
    <xf numFmtId="0" fontId="29" fillId="0" borderId="0" xfId="0" applyFont="1" applyAlignment="1">
      <alignment horizontal="center"/>
    </xf>
    <xf numFmtId="0" fontId="8" fillId="0" borderId="1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>
      <alignment horizontal="left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right" vertical="center" wrapText="1"/>
    </xf>
    <xf numFmtId="0" fontId="19" fillId="0" borderId="8" xfId="0" applyFont="1" applyBorder="1" applyAlignment="1">
      <alignment horizontal="right" vertical="center" wrapText="1"/>
    </xf>
    <xf numFmtId="0" fontId="19" fillId="0" borderId="3" xfId="0" applyFont="1" applyBorder="1" applyAlignment="1">
      <alignment horizontal="right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4" fontId="8" fillId="0" borderId="4" xfId="6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5" fillId="0" borderId="18" xfId="0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5" fillId="0" borderId="1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4" fontId="2" fillId="0" borderId="3" xfId="4" applyFont="1" applyBorder="1" applyAlignment="1">
      <alignment horizontal="center" vertical="center" wrapText="1"/>
    </xf>
    <xf numFmtId="44" fontId="2" fillId="0" borderId="1" xfId="4" applyFont="1" applyBorder="1" applyAlignment="1">
      <alignment horizontal="center" vertical="center" wrapText="1"/>
    </xf>
    <xf numFmtId="44" fontId="2" fillId="0" borderId="2" xfId="4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</cellXfs>
  <cellStyles count="7">
    <cellStyle name="Euro" xfId="1" xr:uid="{00000000-0005-0000-0000-000000000000}"/>
    <cellStyle name="Millares" xfId="2" builtinId="3"/>
    <cellStyle name="Moneda" xfId="4" builtinId="4"/>
    <cellStyle name="Moneda 2" xfId="6" xr:uid="{00000000-0005-0000-0000-000003000000}"/>
    <cellStyle name="Normal" xfId="0" builtinId="0"/>
    <cellStyle name="Normal 2" xfId="3" xr:uid="{00000000-0005-0000-0000-000005000000}"/>
    <cellStyle name="Porcentaje 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141757</xdr:colOff>
      <xdr:row>1</xdr:row>
      <xdr:rowOff>79562</xdr:rowOff>
    </xdr:from>
    <xdr:to>
      <xdr:col>3</xdr:col>
      <xdr:colOff>1657351</xdr:colOff>
      <xdr:row>7</xdr:row>
      <xdr:rowOff>219003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A38401-822C-4C7C-829F-46DE9F2DA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957" y="238312"/>
          <a:ext cx="1515594" cy="14221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225136</xdr:colOff>
      <xdr:row>0</xdr:row>
      <xdr:rowOff>79563</xdr:rowOff>
    </xdr:from>
    <xdr:to>
      <xdr:col>3</xdr:col>
      <xdr:colOff>1549977</xdr:colOff>
      <xdr:row>6</xdr:row>
      <xdr:rowOff>135773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A4E4C3F-E9BD-483E-8404-E12D0C40B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772" y="79563"/>
          <a:ext cx="1324841" cy="1311778"/>
        </a:xfrm>
        <a:prstGeom prst="rect">
          <a:avLst/>
        </a:prstGeom>
      </xdr:spPr>
    </xdr:pic>
    <xdr:clientData/>
  </xdr:twoCellAnchor>
  <xdr:twoCellAnchor editAs="oneCell">
    <xdr:from>
      <xdr:col>3</xdr:col>
      <xdr:colOff>92363</xdr:colOff>
      <xdr:row>0</xdr:row>
      <xdr:rowOff>5773</xdr:rowOff>
    </xdr:from>
    <xdr:to>
      <xdr:col>3</xdr:col>
      <xdr:colOff>1590386</xdr:colOff>
      <xdr:row>6</xdr:row>
      <xdr:rowOff>180790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FF0AFF-4DBA-4EA9-86AD-2B73A6158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5" y="5773"/>
          <a:ext cx="1498023" cy="142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294179</xdr:colOff>
      <xdr:row>0</xdr:row>
      <xdr:rowOff>0</xdr:rowOff>
    </xdr:from>
    <xdr:to>
      <xdr:col>3</xdr:col>
      <xdr:colOff>1422093</xdr:colOff>
      <xdr:row>5</xdr:row>
      <xdr:rowOff>440765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750E4B-2EA9-461B-AF02-33D6BF833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826" y="0"/>
          <a:ext cx="1812407" cy="15389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57727</xdr:rowOff>
    </xdr:from>
    <xdr:to>
      <xdr:col>3</xdr:col>
      <xdr:colOff>1725705</xdr:colOff>
      <xdr:row>8</xdr:row>
      <xdr:rowOff>338118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B32C21-5D86-418E-AF03-6C60C5C1A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300" y="489527"/>
          <a:ext cx="1725705" cy="15757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19050</xdr:rowOff>
    </xdr:from>
    <xdr:ext cx="1001859" cy="1012824"/>
    <xdr:pic>
      <xdr:nvPicPr>
        <xdr:cNvPr id="2" name="Imagen 1">
          <a:extLst>
            <a:ext uri="{FF2B5EF4-FFF2-40B4-BE49-F238E27FC236}">
              <a16:creationId xmlns:a16="http://schemas.microsoft.com/office/drawing/2014/main" id="{C439F81E-4B44-4BF1-A98A-83A1890CB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9050"/>
          <a:ext cx="1001859" cy="1012824"/>
        </a:xfrm>
        <a:prstGeom prst="rect">
          <a:avLst/>
        </a:prstGeom>
      </xdr:spPr>
    </xdr:pic>
    <xdr:clientData/>
  </xdr:oneCellAnchor>
  <xdr:oneCellAnchor>
    <xdr:from>
      <xdr:col>0</xdr:col>
      <xdr:colOff>295275</xdr:colOff>
      <xdr:row>31</xdr:row>
      <xdr:rowOff>180975</xdr:rowOff>
    </xdr:from>
    <xdr:ext cx="1001859" cy="1031874"/>
    <xdr:pic>
      <xdr:nvPicPr>
        <xdr:cNvPr id="3" name="Imagen 2">
          <a:extLst>
            <a:ext uri="{FF2B5EF4-FFF2-40B4-BE49-F238E27FC236}">
              <a16:creationId xmlns:a16="http://schemas.microsoft.com/office/drawing/2014/main" id="{C84E740E-5170-4F69-9854-3114512C3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7553325"/>
          <a:ext cx="1001859" cy="1031874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187842</xdr:colOff>
      <xdr:row>1</xdr:row>
      <xdr:rowOff>85990</xdr:rowOff>
    </xdr:from>
    <xdr:to>
      <xdr:col>3</xdr:col>
      <xdr:colOff>1375067</xdr:colOff>
      <xdr:row>5</xdr:row>
      <xdr:rowOff>38237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2A42A8-3578-48BB-9206-EAC3C2378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342" y="263790"/>
          <a:ext cx="1187225" cy="1126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251127</xdr:colOff>
      <xdr:row>1</xdr:row>
      <xdr:rowOff>87587</xdr:rowOff>
    </xdr:from>
    <xdr:to>
      <xdr:col>3</xdr:col>
      <xdr:colOff>1429515</xdr:colOff>
      <xdr:row>4</xdr:row>
      <xdr:rowOff>54741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DFAA5C-CB58-4E7A-9819-111F1141C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627" y="265387"/>
          <a:ext cx="1178388" cy="1110154"/>
        </a:xfrm>
        <a:prstGeom prst="rect">
          <a:avLst/>
        </a:prstGeom>
      </xdr:spPr>
    </xdr:pic>
    <xdr:clientData/>
  </xdr:twoCellAnchor>
  <xdr:twoCellAnchor editAs="oneCell">
    <xdr:from>
      <xdr:col>3</xdr:col>
      <xdr:colOff>187842</xdr:colOff>
      <xdr:row>1</xdr:row>
      <xdr:rowOff>85990</xdr:rowOff>
    </xdr:from>
    <xdr:to>
      <xdr:col>3</xdr:col>
      <xdr:colOff>1375067</xdr:colOff>
      <xdr:row>4</xdr:row>
      <xdr:rowOff>178703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3042FEF-13CB-416E-9AAD-6AEA9F902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342" y="263790"/>
          <a:ext cx="1187225" cy="1235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7"/>
  <sheetViews>
    <sheetView showGridLines="0" topLeftCell="A28" workbookViewId="0">
      <selection activeCell="F50" sqref="F50:G60"/>
    </sheetView>
  </sheetViews>
  <sheetFormatPr baseColWidth="10" defaultColWidth="11.42578125" defaultRowHeight="12.75" x14ac:dyDescent="0.2"/>
  <cols>
    <col min="2" max="4" width="13.7109375" customWidth="1"/>
    <col min="6" max="7" width="13.7109375" customWidth="1"/>
  </cols>
  <sheetData>
    <row r="2" spans="1:7" ht="18.75" x14ac:dyDescent="0.3">
      <c r="B2" s="7" t="s">
        <v>26</v>
      </c>
      <c r="C2" s="8"/>
      <c r="D2" s="8"/>
      <c r="E2" s="8"/>
      <c r="F2" s="8"/>
      <c r="G2" s="8"/>
    </row>
    <row r="3" spans="1:7" x14ac:dyDescent="0.2">
      <c r="B3" s="9" t="s">
        <v>25</v>
      </c>
      <c r="C3" s="8"/>
      <c r="D3" s="8"/>
      <c r="E3" s="8"/>
      <c r="F3" s="8"/>
      <c r="G3" s="8"/>
    </row>
    <row r="4" spans="1:7" x14ac:dyDescent="0.2">
      <c r="B4" s="20" t="s">
        <v>462</v>
      </c>
      <c r="C4" s="8"/>
      <c r="D4" s="8"/>
      <c r="E4" s="8"/>
      <c r="F4" s="8"/>
      <c r="G4" s="8"/>
    </row>
    <row r="5" spans="1:7" x14ac:dyDescent="0.2">
      <c r="B5" s="8"/>
      <c r="C5" s="8"/>
      <c r="D5" s="8"/>
      <c r="E5" s="8"/>
      <c r="F5" s="8"/>
      <c r="G5" s="8"/>
    </row>
    <row r="6" spans="1:7" x14ac:dyDescent="0.2">
      <c r="B6" s="8"/>
      <c r="C6" s="8"/>
      <c r="D6" s="8"/>
      <c r="E6" s="8"/>
      <c r="F6" s="8"/>
      <c r="G6" s="8"/>
    </row>
    <row r="7" spans="1:7" ht="18.75" customHeight="1" x14ac:dyDescent="0.2">
      <c r="B7" s="376" t="s">
        <v>4</v>
      </c>
      <c r="C7" s="376"/>
      <c r="D7" s="376"/>
      <c r="E7" s="8"/>
      <c r="F7" s="369" t="s">
        <v>19</v>
      </c>
      <c r="G7" s="370"/>
    </row>
    <row r="8" spans="1:7" ht="14.25" customHeight="1" x14ac:dyDescent="0.2">
      <c r="B8" s="373" t="s">
        <v>3</v>
      </c>
      <c r="C8" s="373"/>
      <c r="D8" s="373"/>
      <c r="E8" s="8"/>
      <c r="F8" s="374" t="s">
        <v>20</v>
      </c>
      <c r="G8" s="375"/>
    </row>
    <row r="9" spans="1:7" ht="8.25" customHeight="1" x14ac:dyDescent="0.2">
      <c r="B9" s="377"/>
      <c r="C9" s="377"/>
      <c r="D9" s="377"/>
      <c r="E9" s="8"/>
      <c r="F9" s="371"/>
      <c r="G9" s="372"/>
    </row>
    <row r="10" spans="1:7" ht="16.5" customHeight="1" x14ac:dyDescent="0.2">
      <c r="B10" s="10" t="s">
        <v>5</v>
      </c>
      <c r="C10" s="10" t="s">
        <v>7</v>
      </c>
      <c r="D10" s="10" t="s">
        <v>2</v>
      </c>
      <c r="E10" s="8"/>
      <c r="F10" s="10" t="s">
        <v>10</v>
      </c>
      <c r="G10" s="10" t="s">
        <v>21</v>
      </c>
    </row>
    <row r="11" spans="1:7" x14ac:dyDescent="0.2">
      <c r="A11" s="2"/>
      <c r="B11" s="10" t="s">
        <v>6</v>
      </c>
      <c r="C11" s="10" t="s">
        <v>8</v>
      </c>
      <c r="D11" s="10" t="s">
        <v>9</v>
      </c>
      <c r="E11" s="8"/>
      <c r="F11" s="10"/>
      <c r="G11" s="10" t="s">
        <v>22</v>
      </c>
    </row>
    <row r="12" spans="1:7" x14ac:dyDescent="0.2">
      <c r="A12" s="3"/>
      <c r="B12" s="11"/>
      <c r="C12" s="11"/>
      <c r="D12" s="11"/>
      <c r="E12" s="12"/>
      <c r="F12" s="11"/>
      <c r="G12" s="11"/>
    </row>
    <row r="13" spans="1:7" ht="15.95" customHeight="1" x14ac:dyDescent="0.2">
      <c r="A13" s="1"/>
      <c r="B13" s="21">
        <v>0.01</v>
      </c>
      <c r="C13" s="21">
        <v>0</v>
      </c>
      <c r="D13" s="22">
        <v>1.9199999999999998E-2</v>
      </c>
      <c r="E13" s="15"/>
      <c r="F13" s="21">
        <v>0.01</v>
      </c>
      <c r="G13" s="21">
        <v>407.02</v>
      </c>
    </row>
    <row r="14" spans="1:7" ht="15.95" customHeight="1" x14ac:dyDescent="0.2">
      <c r="A14" s="1"/>
      <c r="B14" s="21">
        <v>746.05</v>
      </c>
      <c r="C14" s="21">
        <v>14.32</v>
      </c>
      <c r="D14" s="22">
        <v>6.4000000000000001E-2</v>
      </c>
      <c r="E14" s="15"/>
      <c r="F14" s="21">
        <v>1768.97</v>
      </c>
      <c r="G14" s="21">
        <v>406.83</v>
      </c>
    </row>
    <row r="15" spans="1:7" ht="15.95" customHeight="1" x14ac:dyDescent="0.2">
      <c r="A15" s="1"/>
      <c r="B15" s="21">
        <v>6332.06</v>
      </c>
      <c r="C15" s="21">
        <v>371.83</v>
      </c>
      <c r="D15" s="22">
        <v>0.10879999999999999</v>
      </c>
      <c r="E15" s="15"/>
      <c r="F15" s="21">
        <v>2653.39</v>
      </c>
      <c r="G15" s="21">
        <v>406.62</v>
      </c>
    </row>
    <row r="16" spans="1:7" ht="15.95" customHeight="1" x14ac:dyDescent="0.2">
      <c r="A16" s="1"/>
      <c r="B16" s="21">
        <v>11128.02</v>
      </c>
      <c r="C16" s="21">
        <v>893.63</v>
      </c>
      <c r="D16" s="22">
        <v>0.16</v>
      </c>
      <c r="E16" s="15"/>
      <c r="F16" s="21">
        <v>3472.85</v>
      </c>
      <c r="G16" s="21">
        <v>392.77</v>
      </c>
    </row>
    <row r="17" spans="1:7" ht="15.95" customHeight="1" x14ac:dyDescent="0.2">
      <c r="A17" s="1"/>
      <c r="B17" s="21">
        <v>12935.83</v>
      </c>
      <c r="C17" s="21">
        <v>1182.8800000000001</v>
      </c>
      <c r="D17" s="22">
        <v>0.1792</v>
      </c>
      <c r="E17" s="15"/>
      <c r="F17" s="21">
        <v>3537.88</v>
      </c>
      <c r="G17" s="21">
        <v>382.46</v>
      </c>
    </row>
    <row r="18" spans="1:7" ht="15.95" customHeight="1" x14ac:dyDescent="0.2">
      <c r="A18" s="1"/>
      <c r="B18" s="21">
        <v>15487.72</v>
      </c>
      <c r="C18" s="21">
        <v>1640.18</v>
      </c>
      <c r="D18" s="22">
        <v>0.21360000000000001</v>
      </c>
      <c r="E18" s="15"/>
      <c r="F18" s="21">
        <v>4446.16</v>
      </c>
      <c r="G18" s="21">
        <v>354.23</v>
      </c>
    </row>
    <row r="19" spans="1:7" ht="15.95" customHeight="1" x14ac:dyDescent="0.2">
      <c r="A19" s="1"/>
      <c r="B19" s="21">
        <v>31236.5</v>
      </c>
      <c r="C19" s="21">
        <v>5004.12</v>
      </c>
      <c r="D19" s="22">
        <v>0.23519999999999999</v>
      </c>
      <c r="E19" s="8"/>
      <c r="F19" s="21">
        <v>4717.1899999999996</v>
      </c>
      <c r="G19" s="21">
        <v>324.87</v>
      </c>
    </row>
    <row r="20" spans="1:7" ht="15.95" customHeight="1" x14ac:dyDescent="0.2">
      <c r="A20" s="1"/>
      <c r="B20" s="21">
        <v>49233.01</v>
      </c>
      <c r="C20" s="21">
        <v>9236.89</v>
      </c>
      <c r="D20" s="22">
        <v>0.3</v>
      </c>
      <c r="E20" s="8"/>
      <c r="F20" s="21">
        <v>5335.43</v>
      </c>
      <c r="G20" s="21">
        <v>294.63</v>
      </c>
    </row>
    <row r="21" spans="1:7" x14ac:dyDescent="0.2">
      <c r="A21" s="1"/>
      <c r="B21" s="21">
        <v>93993.91</v>
      </c>
      <c r="C21" s="21">
        <v>22665.17</v>
      </c>
      <c r="D21" s="22">
        <v>0.32</v>
      </c>
      <c r="E21" s="8"/>
      <c r="F21" s="21">
        <v>6224.68</v>
      </c>
      <c r="G21" s="21">
        <v>253.54</v>
      </c>
    </row>
    <row r="22" spans="1:7" ht="15" customHeight="1" x14ac:dyDescent="0.2">
      <c r="A22" s="1"/>
      <c r="B22" s="21">
        <v>125325.21</v>
      </c>
      <c r="C22" s="21">
        <v>32691.18</v>
      </c>
      <c r="D22" s="22">
        <v>0.34</v>
      </c>
      <c r="E22" s="8"/>
      <c r="F22" s="21">
        <v>7113.91</v>
      </c>
      <c r="G22" s="21">
        <v>217.61</v>
      </c>
    </row>
    <row r="23" spans="1:7" x14ac:dyDescent="0.2">
      <c r="B23" s="21">
        <v>375975.62</v>
      </c>
      <c r="C23" s="21">
        <v>117912.32000000001</v>
      </c>
      <c r="D23" s="22">
        <v>0.35</v>
      </c>
      <c r="E23" s="8"/>
      <c r="F23" s="21">
        <v>7382.34</v>
      </c>
      <c r="G23" s="21">
        <v>0</v>
      </c>
    </row>
    <row r="24" spans="1:7" x14ac:dyDescent="0.2">
      <c r="B24" s="16"/>
      <c r="C24" s="16"/>
      <c r="D24" s="17"/>
      <c r="E24" s="8"/>
      <c r="F24" s="18"/>
      <c r="G24" s="18"/>
    </row>
    <row r="25" spans="1:7" x14ac:dyDescent="0.2">
      <c r="E25" s="8"/>
      <c r="F25" s="8"/>
      <c r="G25" s="8"/>
    </row>
    <row r="26" spans="1:7" x14ac:dyDescent="0.2">
      <c r="B26" s="8"/>
      <c r="C26" s="8"/>
      <c r="D26" s="8"/>
      <c r="E26" s="8"/>
      <c r="F26" s="8"/>
      <c r="G26" s="8"/>
    </row>
    <row r="27" spans="1:7" x14ac:dyDescent="0.2">
      <c r="B27" s="8"/>
      <c r="C27" s="8"/>
      <c r="D27" s="8"/>
      <c r="E27" s="8"/>
      <c r="F27" s="8"/>
      <c r="G27" s="8"/>
    </row>
    <row r="28" spans="1:7" x14ac:dyDescent="0.2">
      <c r="C28" s="8"/>
      <c r="D28" s="8"/>
      <c r="E28" s="8"/>
      <c r="F28" s="8"/>
      <c r="G28" s="8"/>
    </row>
    <row r="29" spans="1:7" x14ac:dyDescent="0.2">
      <c r="C29" s="8"/>
      <c r="D29" s="8"/>
      <c r="E29" s="8"/>
      <c r="F29" s="8"/>
      <c r="G29" s="8"/>
    </row>
    <row r="30" spans="1:7" x14ac:dyDescent="0.2">
      <c r="C30" s="8"/>
      <c r="D30" s="8"/>
      <c r="E30" s="8"/>
      <c r="F30" s="8"/>
      <c r="G30" s="8"/>
    </row>
    <row r="31" spans="1:7" x14ac:dyDescent="0.2">
      <c r="C31" s="8"/>
      <c r="D31" s="8"/>
      <c r="E31" s="8"/>
      <c r="F31" s="8"/>
      <c r="G31" s="8"/>
    </row>
    <row r="32" spans="1:7" x14ac:dyDescent="0.2">
      <c r="B32" s="8"/>
      <c r="C32" s="8"/>
      <c r="D32" s="8"/>
      <c r="E32" s="8"/>
      <c r="F32" s="8"/>
      <c r="G32" s="8"/>
    </row>
    <row r="33" spans="2:7" x14ac:dyDescent="0.2">
      <c r="B33" s="9" t="s">
        <v>13</v>
      </c>
      <c r="C33" s="8"/>
      <c r="D33" s="8"/>
    </row>
    <row r="34" spans="2:7" ht="15.75" x14ac:dyDescent="0.25">
      <c r="B34" s="19" t="s">
        <v>460</v>
      </c>
      <c r="C34" s="8"/>
      <c r="D34" s="8"/>
    </row>
    <row r="35" spans="2:7" x14ac:dyDescent="0.2">
      <c r="B35" s="23" t="s">
        <v>461</v>
      </c>
      <c r="C35" s="8"/>
      <c r="D35" s="8"/>
    </row>
    <row r="44" spans="2:7" ht="17.25" customHeight="1" x14ac:dyDescent="0.2">
      <c r="B44" s="6" t="s">
        <v>18</v>
      </c>
      <c r="E44" s="8"/>
      <c r="F44" s="369" t="s">
        <v>23</v>
      </c>
      <c r="G44" s="370"/>
    </row>
    <row r="45" spans="2:7" x14ac:dyDescent="0.2">
      <c r="E45" s="8"/>
      <c r="F45" s="374" t="s">
        <v>24</v>
      </c>
      <c r="G45" s="375"/>
    </row>
    <row r="46" spans="2:7" ht="5.25" customHeight="1" x14ac:dyDescent="0.2">
      <c r="E46" s="8"/>
      <c r="F46" s="371"/>
      <c r="G46" s="372"/>
    </row>
    <row r="47" spans="2:7" x14ac:dyDescent="0.2">
      <c r="B47" s="376" t="s">
        <v>4</v>
      </c>
      <c r="C47" s="376"/>
      <c r="D47" s="376"/>
      <c r="E47" s="8"/>
      <c r="F47" s="10" t="s">
        <v>10</v>
      </c>
      <c r="G47" s="10" t="s">
        <v>11</v>
      </c>
    </row>
    <row r="48" spans="2:7" x14ac:dyDescent="0.2">
      <c r="B48" s="373" t="s">
        <v>3</v>
      </c>
      <c r="C48" s="373"/>
      <c r="D48" s="373"/>
      <c r="E48" s="8"/>
      <c r="F48" s="10"/>
      <c r="G48" s="10" t="s">
        <v>12</v>
      </c>
    </row>
    <row r="49" spans="2:7" x14ac:dyDescent="0.2">
      <c r="B49" s="377"/>
      <c r="C49" s="377"/>
      <c r="D49" s="377"/>
      <c r="E49" s="12"/>
      <c r="F49" s="11"/>
      <c r="G49" s="11"/>
    </row>
    <row r="50" spans="2:7" ht="15.95" customHeight="1" x14ac:dyDescent="0.2">
      <c r="B50" s="10" t="s">
        <v>5</v>
      </c>
      <c r="C50" s="10" t="s">
        <v>7</v>
      </c>
      <c r="D50" s="10" t="s">
        <v>2</v>
      </c>
      <c r="E50" s="15"/>
      <c r="F50" s="13">
        <v>0.01</v>
      </c>
      <c r="G50" s="13">
        <v>200.85</v>
      </c>
    </row>
    <row r="51" spans="2:7" ht="15.95" customHeight="1" x14ac:dyDescent="0.2">
      <c r="B51" s="10" t="s">
        <v>6</v>
      </c>
      <c r="C51" s="10" t="s">
        <v>8</v>
      </c>
      <c r="D51" s="10" t="s">
        <v>9</v>
      </c>
      <c r="E51" s="15"/>
      <c r="F51" s="13">
        <v>872.86</v>
      </c>
      <c r="G51" s="13">
        <v>200.7</v>
      </c>
    </row>
    <row r="52" spans="2:7" ht="15.95" customHeight="1" x14ac:dyDescent="0.2">
      <c r="B52" s="11"/>
      <c r="C52" s="11"/>
      <c r="D52" s="11"/>
      <c r="E52" s="15"/>
      <c r="F52" s="13">
        <v>1309.21</v>
      </c>
      <c r="G52" s="13">
        <v>200.7</v>
      </c>
    </row>
    <row r="53" spans="2:7" ht="15.95" customHeight="1" x14ac:dyDescent="0.2">
      <c r="B53" s="13">
        <v>0.01</v>
      </c>
      <c r="C53" s="13">
        <v>0</v>
      </c>
      <c r="D53" s="14">
        <f>D13</f>
        <v>1.9199999999999998E-2</v>
      </c>
      <c r="E53" s="15"/>
      <c r="F53" s="13">
        <v>1713.61</v>
      </c>
      <c r="G53" s="13">
        <v>193.8</v>
      </c>
    </row>
    <row r="54" spans="2:7" ht="15.95" customHeight="1" x14ac:dyDescent="0.2">
      <c r="B54" s="13">
        <v>368.11</v>
      </c>
      <c r="C54" s="13">
        <v>7.05</v>
      </c>
      <c r="D54" s="14">
        <f>D14</f>
        <v>6.4000000000000001E-2</v>
      </c>
      <c r="E54" s="15"/>
      <c r="F54" s="13">
        <v>1745.71</v>
      </c>
      <c r="G54" s="13">
        <v>188.7</v>
      </c>
    </row>
    <row r="55" spans="2:7" ht="15.95" customHeight="1" x14ac:dyDescent="0.2">
      <c r="B55" s="13">
        <v>3124.36</v>
      </c>
      <c r="C55" s="13">
        <v>183.45</v>
      </c>
      <c r="D55" s="14">
        <f t="shared" ref="D55:D63" si="0">D15</f>
        <v>0.10879999999999999</v>
      </c>
      <c r="E55" s="15"/>
      <c r="F55" s="13">
        <v>2193.7600000000002</v>
      </c>
      <c r="G55" s="13">
        <v>174.75</v>
      </c>
    </row>
    <row r="56" spans="2:7" ht="15.95" customHeight="1" x14ac:dyDescent="0.2">
      <c r="B56" s="13">
        <v>5490.76</v>
      </c>
      <c r="C56" s="13">
        <v>441</v>
      </c>
      <c r="D56" s="14">
        <f t="shared" si="0"/>
        <v>0.16</v>
      </c>
      <c r="E56" s="8"/>
      <c r="F56" s="13">
        <v>2327.56</v>
      </c>
      <c r="G56" s="13">
        <v>160.35</v>
      </c>
    </row>
    <row r="57" spans="2:7" ht="15.95" customHeight="1" x14ac:dyDescent="0.2">
      <c r="B57" s="13">
        <v>6382.81</v>
      </c>
      <c r="C57" s="13">
        <v>583.65</v>
      </c>
      <c r="D57" s="14">
        <f t="shared" si="0"/>
        <v>0.1792</v>
      </c>
      <c r="E57" s="8"/>
      <c r="F57" s="13">
        <v>2632.66</v>
      </c>
      <c r="G57" s="13">
        <v>145.35</v>
      </c>
    </row>
    <row r="58" spans="2:7" ht="15.95" customHeight="1" x14ac:dyDescent="0.2">
      <c r="B58" s="13">
        <v>7641.91</v>
      </c>
      <c r="C58" s="13">
        <v>809.25</v>
      </c>
      <c r="D58" s="14">
        <f t="shared" si="0"/>
        <v>0.21360000000000001</v>
      </c>
      <c r="E58" s="8"/>
      <c r="F58" s="13">
        <v>3071.41</v>
      </c>
      <c r="G58" s="13">
        <v>125.1</v>
      </c>
    </row>
    <row r="59" spans="2:7" ht="15.95" customHeight="1" x14ac:dyDescent="0.2">
      <c r="B59" s="13">
        <v>15412.81</v>
      </c>
      <c r="C59" s="13">
        <v>2469.15</v>
      </c>
      <c r="D59" s="14">
        <f t="shared" si="0"/>
        <v>0.23519999999999999</v>
      </c>
      <c r="E59" s="8"/>
      <c r="F59" s="13">
        <v>3510.16</v>
      </c>
      <c r="G59" s="13">
        <v>107.4</v>
      </c>
    </row>
    <row r="60" spans="2:7" ht="15.95" customHeight="1" x14ac:dyDescent="0.2">
      <c r="B60" s="13">
        <v>24292.66</v>
      </c>
      <c r="C60" s="13">
        <v>4557.75</v>
      </c>
      <c r="D60" s="14">
        <f t="shared" si="0"/>
        <v>0.3</v>
      </c>
      <c r="E60" s="8"/>
      <c r="F60" s="13">
        <v>3642.61</v>
      </c>
      <c r="G60" s="13">
        <v>0</v>
      </c>
    </row>
    <row r="61" spans="2:7" x14ac:dyDescent="0.2">
      <c r="B61" s="13">
        <v>46378.51</v>
      </c>
      <c r="C61" s="13">
        <v>11183.4</v>
      </c>
      <c r="D61" s="14">
        <f t="shared" si="0"/>
        <v>0.32</v>
      </c>
      <c r="E61" s="8"/>
      <c r="F61" s="18"/>
      <c r="G61" s="18"/>
    </row>
    <row r="62" spans="2:7" x14ac:dyDescent="0.2">
      <c r="B62" s="13">
        <v>61838.11</v>
      </c>
      <c r="C62" s="13">
        <v>16130.55</v>
      </c>
      <c r="D62" s="14">
        <f t="shared" si="0"/>
        <v>0.34</v>
      </c>
    </row>
    <row r="63" spans="2:7" x14ac:dyDescent="0.2">
      <c r="B63" s="13">
        <v>185514.31</v>
      </c>
      <c r="C63" s="13">
        <v>58180.35</v>
      </c>
      <c r="D63" s="14">
        <f t="shared" si="0"/>
        <v>0.35</v>
      </c>
    </row>
    <row r="64" spans="2:7" x14ac:dyDescent="0.2">
      <c r="B64" s="16"/>
      <c r="C64" s="16"/>
      <c r="D64" s="17"/>
    </row>
    <row r="66" spans="2:4" x14ac:dyDescent="0.2">
      <c r="B66" s="8"/>
      <c r="C66" s="8"/>
      <c r="D66" s="8"/>
    </row>
    <row r="67" spans="2:4" x14ac:dyDescent="0.2">
      <c r="B67" s="8"/>
      <c r="C67" s="8"/>
      <c r="D67" s="8"/>
    </row>
  </sheetData>
  <sheetProtection formatCells="0" formatColumns="0" formatRows="0" insertColumns="0" insertRows="0" insertHyperlinks="0" deleteColumns="0" deleteRows="0" sort="0" autoFilter="0" pivotTables="0"/>
  <mergeCells count="12">
    <mergeCell ref="B49:D49"/>
    <mergeCell ref="F46:G46"/>
    <mergeCell ref="B47:D47"/>
    <mergeCell ref="F44:G44"/>
    <mergeCell ref="B48:D48"/>
    <mergeCell ref="F45:G45"/>
    <mergeCell ref="F7:G7"/>
    <mergeCell ref="F9:G9"/>
    <mergeCell ref="B8:D8"/>
    <mergeCell ref="F8:G8"/>
    <mergeCell ref="B7:D7"/>
    <mergeCell ref="B9:D9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4"/>
  <sheetViews>
    <sheetView showGridLines="0" tabSelected="1" zoomScaleNormal="100" workbookViewId="0">
      <selection activeCell="F10" sqref="F10:F19"/>
    </sheetView>
  </sheetViews>
  <sheetFormatPr baseColWidth="10" defaultColWidth="11.42578125" defaultRowHeight="12.75" x14ac:dyDescent="0.2"/>
  <cols>
    <col min="1" max="1" width="2.5703125" style="5" customWidth="1"/>
    <col min="2" max="3" width="3.85546875" style="5" customWidth="1"/>
    <col min="4" max="4" width="28" style="312" customWidth="1"/>
    <col min="5" max="5" width="13.5703125" style="5" bestFit="1" customWidth="1"/>
    <col min="6" max="6" width="22.42578125" style="5" customWidth="1"/>
    <col min="7" max="7" width="5.42578125" style="5" bestFit="1" customWidth="1"/>
    <col min="8" max="8" width="8.140625" style="5" bestFit="1" customWidth="1"/>
    <col min="9" max="9" width="11.42578125" style="32" customWidth="1"/>
    <col min="10" max="10" width="9.42578125" style="5" bestFit="1" customWidth="1"/>
    <col min="11" max="11" width="9.7109375" style="5" bestFit="1" customWidth="1"/>
    <col min="12" max="12" width="9.42578125" style="5" hidden="1" customWidth="1"/>
    <col min="13" max="13" width="10" style="5" customWidth="1"/>
    <col min="14" max="14" width="11.42578125" style="5" bestFit="1" customWidth="1"/>
    <col min="15" max="15" width="23.42578125" style="5" customWidth="1"/>
    <col min="16" max="16384" width="11.42578125" style="5"/>
  </cols>
  <sheetData>
    <row r="1" spans="1:15" x14ac:dyDescent="0.2">
      <c r="B1" s="272"/>
      <c r="C1" s="273"/>
      <c r="D1" s="274"/>
      <c r="E1" s="273"/>
      <c r="F1" s="273"/>
      <c r="G1" s="273"/>
      <c r="H1" s="273"/>
      <c r="I1" s="275"/>
      <c r="J1" s="273"/>
      <c r="K1" s="273"/>
      <c r="L1" s="273"/>
      <c r="M1" s="273"/>
      <c r="N1" s="273"/>
      <c r="O1" s="276"/>
    </row>
    <row r="2" spans="1:15" ht="18.75" x14ac:dyDescent="0.3">
      <c r="B2" s="277"/>
      <c r="C2" s="48"/>
      <c r="D2" s="88"/>
      <c r="E2" s="378" t="s">
        <v>373</v>
      </c>
      <c r="F2" s="378"/>
      <c r="G2" s="378"/>
      <c r="H2" s="378"/>
      <c r="I2" s="378"/>
      <c r="J2" s="378"/>
      <c r="K2" s="378"/>
      <c r="L2" s="378"/>
      <c r="M2" s="378"/>
      <c r="N2" s="378"/>
      <c r="O2" s="379"/>
    </row>
    <row r="3" spans="1:15" x14ac:dyDescent="0.2">
      <c r="B3" s="277"/>
      <c r="C3" s="48"/>
      <c r="D3" s="44"/>
      <c r="E3" s="48"/>
      <c r="F3" s="48"/>
      <c r="G3" s="48"/>
      <c r="H3" s="48"/>
      <c r="I3" s="278"/>
      <c r="J3" s="48"/>
      <c r="K3" s="48"/>
      <c r="L3" s="48"/>
      <c r="M3" s="48"/>
      <c r="N3" s="48"/>
      <c r="O3" s="279"/>
    </row>
    <row r="4" spans="1:15" ht="27.75" customHeight="1" x14ac:dyDescent="0.4">
      <c r="B4" s="277"/>
      <c r="C4" s="48"/>
      <c r="D4" s="44"/>
      <c r="E4" s="380"/>
      <c r="F4" s="380"/>
      <c r="G4" s="48"/>
      <c r="H4" s="48"/>
      <c r="I4" s="278"/>
      <c r="J4" s="48"/>
      <c r="K4" s="48"/>
      <c r="L4" s="48"/>
      <c r="M4" s="48"/>
      <c r="N4" s="48"/>
      <c r="O4" s="279"/>
    </row>
    <row r="5" spans="1:15" x14ac:dyDescent="0.2">
      <c r="B5" s="277"/>
      <c r="C5" s="48"/>
      <c r="D5" s="44"/>
      <c r="E5" s="48"/>
      <c r="F5" s="48"/>
      <c r="G5" s="48"/>
      <c r="H5" s="48"/>
      <c r="I5" s="278"/>
      <c r="J5" s="48"/>
      <c r="K5" s="48"/>
      <c r="L5" s="48"/>
      <c r="M5" s="48"/>
      <c r="N5" s="48"/>
      <c r="O5" s="279"/>
    </row>
    <row r="6" spans="1:15" ht="18" x14ac:dyDescent="0.2">
      <c r="B6" s="277"/>
      <c r="C6" s="48"/>
      <c r="D6" s="44"/>
      <c r="E6" s="48"/>
      <c r="F6" s="280" t="s">
        <v>374</v>
      </c>
      <c r="G6" s="48"/>
      <c r="H6" s="48"/>
      <c r="I6" s="278"/>
      <c r="J6" s="48"/>
      <c r="K6" s="48"/>
      <c r="L6" s="48"/>
      <c r="M6" s="48"/>
      <c r="N6" s="48"/>
      <c r="O6" s="279"/>
    </row>
    <row r="7" spans="1:15" x14ac:dyDescent="0.2">
      <c r="B7" s="277"/>
      <c r="C7" s="48"/>
      <c r="D7" s="44"/>
      <c r="E7" s="48"/>
      <c r="F7" s="48"/>
      <c r="G7" s="48"/>
      <c r="H7" s="48"/>
      <c r="I7" s="278"/>
      <c r="J7" s="48"/>
      <c r="K7" s="48"/>
      <c r="L7" s="48"/>
      <c r="M7" s="48"/>
      <c r="N7" s="48"/>
      <c r="O7" s="279"/>
    </row>
    <row r="8" spans="1:15" ht="30" customHeight="1" x14ac:dyDescent="0.2">
      <c r="B8" s="281"/>
      <c r="C8" s="210"/>
      <c r="D8" s="282"/>
      <c r="E8" s="283"/>
      <c r="F8" s="284" t="s">
        <v>375</v>
      </c>
      <c r="G8" s="381" t="s">
        <v>489</v>
      </c>
      <c r="H8" s="381"/>
      <c r="I8" s="381"/>
      <c r="J8" s="381"/>
      <c r="K8" s="381"/>
      <c r="L8" s="381"/>
      <c r="M8" s="381"/>
      <c r="N8" s="284"/>
      <c r="O8" s="285"/>
    </row>
    <row r="9" spans="1:15" s="293" customFormat="1" ht="38.25" x14ac:dyDescent="0.2">
      <c r="A9" s="5"/>
      <c r="B9" s="286" t="s">
        <v>292</v>
      </c>
      <c r="C9" s="287" t="s">
        <v>353</v>
      </c>
      <c r="D9" s="288" t="s">
        <v>14</v>
      </c>
      <c r="E9" s="288" t="s">
        <v>286</v>
      </c>
      <c r="F9" s="288" t="s">
        <v>287</v>
      </c>
      <c r="G9" s="288" t="s">
        <v>457</v>
      </c>
      <c r="H9" s="288" t="s">
        <v>291</v>
      </c>
      <c r="I9" s="289" t="s">
        <v>288</v>
      </c>
      <c r="J9" s="288" t="s">
        <v>304</v>
      </c>
      <c r="K9" s="288" t="s">
        <v>305</v>
      </c>
      <c r="L9" s="290" t="s">
        <v>376</v>
      </c>
      <c r="M9" s="290" t="s">
        <v>289</v>
      </c>
      <c r="N9" s="291" t="s">
        <v>285</v>
      </c>
      <c r="O9" s="292" t="s">
        <v>296</v>
      </c>
    </row>
    <row r="10" spans="1:15" s="29" customFormat="1" ht="30" customHeight="1" x14ac:dyDescent="0.2">
      <c r="A10" s="5"/>
      <c r="B10" s="294">
        <v>1</v>
      </c>
      <c r="C10" s="295" t="s">
        <v>353</v>
      </c>
      <c r="D10" s="296" t="s">
        <v>377</v>
      </c>
      <c r="E10" s="296" t="s">
        <v>378</v>
      </c>
      <c r="F10" s="81"/>
      <c r="G10" s="81">
        <v>15</v>
      </c>
      <c r="H10" s="297">
        <v>621.73299999999995</v>
      </c>
      <c r="I10" s="298">
        <f>ROUND(G10*H10,2)</f>
        <v>9326</v>
      </c>
      <c r="J10" s="299">
        <v>0</v>
      </c>
      <c r="K10" s="299">
        <f t="shared" ref="K10:K19" si="0">IF(H10&lt;=248.93,0,(IFERROR(IF(ROUND((((I10/G10*30.4)-VLOOKUP((I10/G10*30.4),TARIFA,1))*VLOOKUP((I10/G10*30.4),TARIFA,3)+VLOOKUP((I10/G10*30.4),TARIFA,2)-VLOOKUP((I10/G10*30.4),SUBSIDIO,2))/30.4*G10,2)&gt;0,ROUND((((I10/G10*30.4)-VLOOKUP((I10/G10*30.4),TARIFA,1))*VLOOKUP((I10/G10*30.4),TARIFA,3)+VLOOKUP((I10/G10*30.4),TARIFA,2)-VLOOKUP((I10/G10*30.4),SUBSIDIO,2))/30.4*G10,2),0),0)))</f>
        <v>1169.01</v>
      </c>
      <c r="L10" s="300">
        <v>0</v>
      </c>
      <c r="M10" s="301">
        <f>K11+L10</f>
        <v>1169.01</v>
      </c>
      <c r="N10" s="302">
        <f>I10-M10</f>
        <v>8156.99</v>
      </c>
      <c r="O10" s="303"/>
    </row>
    <row r="11" spans="1:15" s="29" customFormat="1" ht="30" customHeight="1" x14ac:dyDescent="0.2">
      <c r="A11" s="5"/>
      <c r="B11" s="294">
        <v>2</v>
      </c>
      <c r="C11" s="295"/>
      <c r="D11" s="296" t="s">
        <v>379</v>
      </c>
      <c r="E11" s="296" t="s">
        <v>378</v>
      </c>
      <c r="F11" s="257"/>
      <c r="G11" s="81">
        <v>15</v>
      </c>
      <c r="H11" s="297">
        <v>621.73299999999995</v>
      </c>
      <c r="I11" s="298">
        <f t="shared" ref="I11:I19" si="1">ROUND(G11*H11,2)</f>
        <v>9326</v>
      </c>
      <c r="J11" s="299">
        <v>0</v>
      </c>
      <c r="K11" s="299">
        <f t="shared" si="0"/>
        <v>1169.01</v>
      </c>
      <c r="L11" s="299">
        <v>0</v>
      </c>
      <c r="M11" s="301">
        <f>K11</f>
        <v>1169.01</v>
      </c>
      <c r="N11" s="302">
        <f>I11-M11</f>
        <v>8156.99</v>
      </c>
      <c r="O11" s="303"/>
    </row>
    <row r="12" spans="1:15" s="29" customFormat="1" ht="30" customHeight="1" x14ac:dyDescent="0.2">
      <c r="A12" s="5"/>
      <c r="B12" s="294">
        <v>3</v>
      </c>
      <c r="C12" s="295" t="s">
        <v>353</v>
      </c>
      <c r="D12" s="296" t="s">
        <v>483</v>
      </c>
      <c r="E12" s="296" t="s">
        <v>378</v>
      </c>
      <c r="F12" s="257"/>
      <c r="G12" s="81">
        <v>15</v>
      </c>
      <c r="H12" s="297">
        <v>621.73299999999995</v>
      </c>
      <c r="I12" s="298">
        <f t="shared" ref="I12" si="2">ROUND(G12*H12,2)</f>
        <v>9326</v>
      </c>
      <c r="J12" s="299">
        <v>0</v>
      </c>
      <c r="K12" s="299">
        <f t="shared" ref="K12" si="3">IF(H12&lt;=248.93,0,(IFERROR(IF(ROUND((((I12/G12*30.4)-VLOOKUP((I12/G12*30.4),TARIFA,1))*VLOOKUP((I12/G12*30.4),TARIFA,3)+VLOOKUP((I12/G12*30.4),TARIFA,2)-VLOOKUP((I12/G12*30.4),SUBSIDIO,2))/30.4*G12,2)&gt;0,ROUND((((I12/G12*30.4)-VLOOKUP((I12/G12*30.4),TARIFA,1))*VLOOKUP((I12/G12*30.4),TARIFA,3)+VLOOKUP((I12/G12*30.4),TARIFA,2)-VLOOKUP((I12/G12*30.4),SUBSIDIO,2))/30.4*G12,2),0),0)))</f>
        <v>1169.01</v>
      </c>
      <c r="L12" s="299">
        <v>0</v>
      </c>
      <c r="M12" s="301">
        <f>K12</f>
        <v>1169.01</v>
      </c>
      <c r="N12" s="302">
        <f>I12-M12</f>
        <v>8156.99</v>
      </c>
      <c r="O12" s="303"/>
    </row>
    <row r="13" spans="1:15" s="29" customFormat="1" ht="30" customHeight="1" x14ac:dyDescent="0.2">
      <c r="A13" s="5"/>
      <c r="B13" s="294">
        <v>5</v>
      </c>
      <c r="C13" s="295"/>
      <c r="D13" s="296" t="s">
        <v>380</v>
      </c>
      <c r="E13" s="296" t="s">
        <v>378</v>
      </c>
      <c r="F13" s="81"/>
      <c r="G13" s="81">
        <v>15</v>
      </c>
      <c r="H13" s="297">
        <v>621.73299999999995</v>
      </c>
      <c r="I13" s="298">
        <f t="shared" si="1"/>
        <v>9326</v>
      </c>
      <c r="J13" s="299">
        <v>0</v>
      </c>
      <c r="K13" s="299">
        <f t="shared" si="0"/>
        <v>1169.01</v>
      </c>
      <c r="L13" s="299">
        <v>0</v>
      </c>
      <c r="M13" s="301">
        <f t="shared" ref="M13:M19" si="4">K13</f>
        <v>1169.01</v>
      </c>
      <c r="N13" s="302">
        <f t="shared" ref="N13:N19" si="5">I13-M13</f>
        <v>8156.99</v>
      </c>
      <c r="O13" s="303"/>
    </row>
    <row r="14" spans="1:15" s="29" customFormat="1" ht="30" customHeight="1" x14ac:dyDescent="0.2">
      <c r="A14" s="5"/>
      <c r="B14" s="294">
        <v>6</v>
      </c>
      <c r="C14" s="295"/>
      <c r="D14" s="296" t="s">
        <v>381</v>
      </c>
      <c r="E14" s="296" t="s">
        <v>378</v>
      </c>
      <c r="F14" s="81"/>
      <c r="G14" s="81">
        <v>15</v>
      </c>
      <c r="H14" s="297">
        <v>621.73299999999995</v>
      </c>
      <c r="I14" s="298">
        <f t="shared" si="1"/>
        <v>9326</v>
      </c>
      <c r="J14" s="299">
        <v>0</v>
      </c>
      <c r="K14" s="299">
        <f t="shared" si="0"/>
        <v>1169.01</v>
      </c>
      <c r="L14" s="299">
        <v>0</v>
      </c>
      <c r="M14" s="301">
        <f t="shared" si="4"/>
        <v>1169.01</v>
      </c>
      <c r="N14" s="302">
        <f t="shared" si="5"/>
        <v>8156.99</v>
      </c>
      <c r="O14" s="303"/>
    </row>
    <row r="15" spans="1:15" s="29" customFormat="1" ht="30" customHeight="1" x14ac:dyDescent="0.2">
      <c r="A15" s="5"/>
      <c r="B15" s="294">
        <v>7</v>
      </c>
      <c r="C15" s="295"/>
      <c r="D15" s="296" t="s">
        <v>382</v>
      </c>
      <c r="E15" s="296" t="s">
        <v>378</v>
      </c>
      <c r="F15" s="81"/>
      <c r="G15" s="81">
        <v>15</v>
      </c>
      <c r="H15" s="297">
        <v>621.73299999999995</v>
      </c>
      <c r="I15" s="298">
        <f t="shared" si="1"/>
        <v>9326</v>
      </c>
      <c r="J15" s="299">
        <v>0</v>
      </c>
      <c r="K15" s="299">
        <f t="shared" si="0"/>
        <v>1169.01</v>
      </c>
      <c r="L15" s="299">
        <v>0</v>
      </c>
      <c r="M15" s="301">
        <f t="shared" si="4"/>
        <v>1169.01</v>
      </c>
      <c r="N15" s="302">
        <f t="shared" si="5"/>
        <v>8156.99</v>
      </c>
      <c r="O15" s="303"/>
    </row>
    <row r="16" spans="1:15" s="29" customFormat="1" ht="30" customHeight="1" x14ac:dyDescent="0.2">
      <c r="A16" s="5"/>
      <c r="B16" s="294">
        <v>8</v>
      </c>
      <c r="C16" s="295"/>
      <c r="D16" s="296" t="s">
        <v>383</v>
      </c>
      <c r="E16" s="296" t="s">
        <v>378</v>
      </c>
      <c r="F16" s="81"/>
      <c r="G16" s="81">
        <v>15</v>
      </c>
      <c r="H16" s="297">
        <v>621.73299999999995</v>
      </c>
      <c r="I16" s="298">
        <f t="shared" si="1"/>
        <v>9326</v>
      </c>
      <c r="J16" s="299">
        <v>0</v>
      </c>
      <c r="K16" s="299">
        <f t="shared" si="0"/>
        <v>1169.01</v>
      </c>
      <c r="L16" s="299">
        <v>0</v>
      </c>
      <c r="M16" s="301">
        <f t="shared" si="4"/>
        <v>1169.01</v>
      </c>
      <c r="N16" s="302">
        <f t="shared" si="5"/>
        <v>8156.99</v>
      </c>
      <c r="O16" s="303"/>
    </row>
    <row r="17" spans="1:15" s="29" customFormat="1" ht="30" customHeight="1" x14ac:dyDescent="0.2">
      <c r="A17" s="5"/>
      <c r="B17" s="294">
        <v>9</v>
      </c>
      <c r="C17" s="295"/>
      <c r="D17" s="296" t="s">
        <v>384</v>
      </c>
      <c r="E17" s="296" t="s">
        <v>378</v>
      </c>
      <c r="F17" s="257"/>
      <c r="G17" s="81">
        <v>15</v>
      </c>
      <c r="H17" s="297">
        <v>621.73299999999995</v>
      </c>
      <c r="I17" s="298">
        <f t="shared" si="1"/>
        <v>9326</v>
      </c>
      <c r="J17" s="299">
        <v>0</v>
      </c>
      <c r="K17" s="299">
        <f t="shared" si="0"/>
        <v>1169.01</v>
      </c>
      <c r="L17" s="299">
        <v>0</v>
      </c>
      <c r="M17" s="301">
        <f t="shared" si="4"/>
        <v>1169.01</v>
      </c>
      <c r="N17" s="302">
        <f t="shared" si="5"/>
        <v>8156.99</v>
      </c>
      <c r="O17" s="303"/>
    </row>
    <row r="18" spans="1:15" s="29" customFormat="1" ht="30" customHeight="1" x14ac:dyDescent="0.2">
      <c r="A18" s="5"/>
      <c r="B18" s="294">
        <v>10</v>
      </c>
      <c r="C18" s="295"/>
      <c r="D18" s="296" t="s">
        <v>385</v>
      </c>
      <c r="E18" s="296" t="s">
        <v>378</v>
      </c>
      <c r="F18" s="81"/>
      <c r="G18" s="81">
        <v>15</v>
      </c>
      <c r="H18" s="297">
        <v>621.73299999999995</v>
      </c>
      <c r="I18" s="298">
        <f t="shared" si="1"/>
        <v>9326</v>
      </c>
      <c r="J18" s="299">
        <v>0</v>
      </c>
      <c r="K18" s="299">
        <f t="shared" si="0"/>
        <v>1169.01</v>
      </c>
      <c r="L18" s="299">
        <v>0</v>
      </c>
      <c r="M18" s="301">
        <f t="shared" si="4"/>
        <v>1169.01</v>
      </c>
      <c r="N18" s="302">
        <f t="shared" si="5"/>
        <v>8156.99</v>
      </c>
      <c r="O18" s="303"/>
    </row>
    <row r="19" spans="1:15" s="29" customFormat="1" ht="30" customHeight="1" x14ac:dyDescent="0.2">
      <c r="A19" s="5"/>
      <c r="B19" s="294">
        <v>11</v>
      </c>
      <c r="C19" s="295"/>
      <c r="D19" s="296" t="s">
        <v>386</v>
      </c>
      <c r="E19" s="296" t="s">
        <v>387</v>
      </c>
      <c r="F19" s="81"/>
      <c r="G19" s="81">
        <v>15</v>
      </c>
      <c r="H19" s="297">
        <v>621.73299999999995</v>
      </c>
      <c r="I19" s="298">
        <f t="shared" si="1"/>
        <v>9326</v>
      </c>
      <c r="J19" s="299">
        <v>0</v>
      </c>
      <c r="K19" s="299">
        <f t="shared" si="0"/>
        <v>1169.01</v>
      </c>
      <c r="L19" s="299">
        <v>0</v>
      </c>
      <c r="M19" s="301">
        <f t="shared" si="4"/>
        <v>1169.01</v>
      </c>
      <c r="N19" s="302">
        <f t="shared" si="5"/>
        <v>8156.99</v>
      </c>
      <c r="O19" s="303"/>
    </row>
    <row r="20" spans="1:15" s="293" customFormat="1" x14ac:dyDescent="0.2">
      <c r="A20" s="5"/>
      <c r="B20" s="382" t="s">
        <v>17</v>
      </c>
      <c r="C20" s="383"/>
      <c r="D20" s="383"/>
      <c r="E20" s="383"/>
      <c r="F20" s="383"/>
      <c r="G20" s="383"/>
      <c r="H20" s="271"/>
      <c r="I20" s="304">
        <f>SUM(I10:I19)</f>
        <v>93260</v>
      </c>
      <c r="J20" s="299">
        <v>0</v>
      </c>
      <c r="K20" s="304">
        <f t="shared" ref="K20:N20" si="6">SUM(K10:K19)</f>
        <v>11690.1</v>
      </c>
      <c r="L20" s="304">
        <f t="shared" si="6"/>
        <v>0</v>
      </c>
      <c r="M20" s="304">
        <f t="shared" si="6"/>
        <v>11690.1</v>
      </c>
      <c r="N20" s="304">
        <f t="shared" si="6"/>
        <v>81569.899999999994</v>
      </c>
      <c r="O20" s="305">
        <f t="shared" ref="O20" si="7">SUM(O10:O19)</f>
        <v>0</v>
      </c>
    </row>
    <row r="21" spans="1:15" x14ac:dyDescent="0.2">
      <c r="B21" s="306"/>
      <c r="C21" s="44"/>
      <c r="D21" s="44"/>
      <c r="E21" s="44"/>
      <c r="F21" s="44"/>
      <c r="G21" s="44"/>
      <c r="H21" s="44"/>
      <c r="I21" s="307"/>
      <c r="J21" s="44"/>
      <c r="K21" s="44"/>
      <c r="L21" s="44"/>
      <c r="M21" s="44"/>
      <c r="N21" s="44"/>
      <c r="O21" s="308"/>
    </row>
    <row r="22" spans="1:15" x14ac:dyDescent="0.2">
      <c r="B22" s="306"/>
      <c r="C22" s="44"/>
      <c r="D22" s="44"/>
      <c r="E22" s="44"/>
      <c r="F22" s="44"/>
      <c r="G22" s="44"/>
      <c r="H22" s="44"/>
      <c r="I22" s="307"/>
      <c r="J22" s="44"/>
      <c r="K22" s="44"/>
      <c r="L22" s="44"/>
      <c r="M22" s="44"/>
      <c r="N22" s="44"/>
      <c r="O22" s="308"/>
    </row>
    <row r="23" spans="1:15" x14ac:dyDescent="0.2">
      <c r="B23" s="306"/>
      <c r="C23" s="44"/>
      <c r="D23" s="44"/>
      <c r="E23" s="44"/>
      <c r="F23" s="44"/>
      <c r="G23" s="44"/>
      <c r="H23" s="44"/>
      <c r="I23" s="307"/>
      <c r="J23" s="44"/>
      <c r="K23" s="44"/>
      <c r="L23" s="44"/>
      <c r="M23" s="44"/>
      <c r="N23" s="44"/>
      <c r="O23" s="308"/>
    </row>
    <row r="24" spans="1:15" x14ac:dyDescent="0.2">
      <c r="B24" s="306"/>
      <c r="C24" s="44"/>
      <c r="D24" s="44"/>
      <c r="E24" s="44"/>
      <c r="F24" s="44"/>
      <c r="G24" s="44"/>
      <c r="H24" s="44"/>
      <c r="I24" s="307"/>
      <c r="J24" s="44"/>
      <c r="K24" s="44"/>
      <c r="L24" s="44"/>
      <c r="M24" s="44"/>
      <c r="N24" s="44"/>
      <c r="O24" s="308"/>
    </row>
    <row r="25" spans="1:15" x14ac:dyDescent="0.2">
      <c r="B25" s="306"/>
      <c r="C25" s="44"/>
      <c r="D25" s="44"/>
      <c r="E25" s="44"/>
      <c r="F25" s="44"/>
      <c r="G25" s="44"/>
      <c r="H25" s="44"/>
      <c r="I25" s="307"/>
      <c r="J25" s="44"/>
      <c r="K25" s="44"/>
      <c r="L25" s="44"/>
      <c r="M25" s="44"/>
      <c r="N25" s="44"/>
      <c r="O25" s="309"/>
    </row>
    <row r="26" spans="1:15" ht="13.5" x14ac:dyDescent="0.2">
      <c r="B26" s="91"/>
      <c r="D26" s="386" t="s">
        <v>487</v>
      </c>
      <c r="E26" s="386"/>
      <c r="M26" s="90" t="s">
        <v>294</v>
      </c>
      <c r="N26" s="90"/>
      <c r="O26" s="89"/>
    </row>
    <row r="27" spans="1:15" ht="12.75" customHeight="1" x14ac:dyDescent="0.2">
      <c r="B27" s="91"/>
      <c r="D27" s="384" t="s">
        <v>293</v>
      </c>
      <c r="E27" s="384"/>
      <c r="M27" s="384" t="s">
        <v>295</v>
      </c>
      <c r="N27" s="384"/>
      <c r="O27" s="385"/>
    </row>
    <row r="28" spans="1:15" ht="13.5" thickBot="1" x14ac:dyDescent="0.25">
      <c r="B28" s="92"/>
      <c r="C28" s="93"/>
      <c r="D28" s="310"/>
      <c r="E28" s="93"/>
      <c r="F28" s="93"/>
      <c r="G28" s="93"/>
      <c r="H28" s="93"/>
      <c r="I28" s="94"/>
      <c r="J28" s="93"/>
      <c r="K28" s="93"/>
      <c r="L28" s="93"/>
      <c r="M28" s="93"/>
      <c r="N28" s="93"/>
      <c r="O28" s="311"/>
    </row>
    <row r="31" spans="1:15" x14ac:dyDescent="0.2">
      <c r="M31" s="5" t="s">
        <v>90</v>
      </c>
      <c r="N31" s="313">
        <f>N10+N12</f>
        <v>16313.98</v>
      </c>
    </row>
    <row r="32" spans="1:15" x14ac:dyDescent="0.2">
      <c r="M32" s="5" t="s">
        <v>91</v>
      </c>
      <c r="N32" s="313">
        <f>N13+N14+N15+N16+N17+N18+N19+N11</f>
        <v>65255.919999999991</v>
      </c>
    </row>
    <row r="34" spans="4:14" x14ac:dyDescent="0.2">
      <c r="M34" s="5" t="s">
        <v>302</v>
      </c>
      <c r="N34" s="313">
        <f>N32+N31</f>
        <v>81569.899999999994</v>
      </c>
    </row>
    <row r="36" spans="4:14" x14ac:dyDescent="0.2">
      <c r="M36" s="5" t="s">
        <v>303</v>
      </c>
      <c r="N36" s="32">
        <f>N34-N20</f>
        <v>0</v>
      </c>
    </row>
    <row r="40" spans="4:14" x14ac:dyDescent="0.2">
      <c r="D40" s="312" t="s">
        <v>388</v>
      </c>
      <c r="E40" s="314">
        <f>N34+BASE!M108+EVENTUALES!L157+PENSIONADOS!AJ24+'Apoyos '!H22+'Apoyos '!H54</f>
        <v>604293.85000000021</v>
      </c>
      <c r="K40" s="5" t="s">
        <v>389</v>
      </c>
      <c r="N40" s="314">
        <f>N31+BASE!M106+EVENTUALES!L155+PENSIONADOS!AJ24+'Apoyos '!H22+'Apoyos '!H54+'SEG. PUBLICA'!M47+PROT.CIVIL!M40</f>
        <v>701807.12000000023</v>
      </c>
    </row>
    <row r="42" spans="4:14" x14ac:dyDescent="0.2">
      <c r="D42" s="312" t="s">
        <v>390</v>
      </c>
      <c r="E42" s="314">
        <f>'SEG. PUBLICA'!M50+PROT.CIVIL!M43</f>
        <v>247444.92000000004</v>
      </c>
      <c r="K42" s="5" t="s">
        <v>391</v>
      </c>
      <c r="N42" s="314">
        <f>N32+BASE!M107+EVENTUALES!L156+'SEG. PUBLICA'!M49+PROT.CIVIL!M42</f>
        <v>149931.65000000002</v>
      </c>
    </row>
    <row r="44" spans="4:14" x14ac:dyDescent="0.2">
      <c r="D44" s="312" t="s">
        <v>128</v>
      </c>
      <c r="E44" s="314">
        <f>E40+E42</f>
        <v>851738.77000000025</v>
      </c>
      <c r="K44" s="5" t="s">
        <v>128</v>
      </c>
      <c r="N44" s="314">
        <f>SUM(N40:N43)</f>
        <v>851738.77000000025</v>
      </c>
    </row>
  </sheetData>
  <mergeCells count="7">
    <mergeCell ref="E2:O2"/>
    <mergeCell ref="E4:F4"/>
    <mergeCell ref="G8:M8"/>
    <mergeCell ref="B20:G20"/>
    <mergeCell ref="D27:E27"/>
    <mergeCell ref="M27:O27"/>
    <mergeCell ref="D26:E26"/>
  </mergeCells>
  <pageMargins left="0.70866141732283472" right="0.70866141732283472" top="0.74803149606299213" bottom="0.15748031496062992" header="0.31496062992125984" footer="0.11811023622047245"/>
  <pageSetup scale="77" fitToHeight="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S110"/>
  <sheetViews>
    <sheetView showGridLines="0" topLeftCell="A81" zoomScale="85" zoomScaleNormal="85" workbookViewId="0">
      <selection activeCell="F94" sqref="F94"/>
    </sheetView>
  </sheetViews>
  <sheetFormatPr baseColWidth="10" defaultColWidth="11.42578125" defaultRowHeight="17.25" x14ac:dyDescent="0.2"/>
  <cols>
    <col min="1" max="1" width="2.5703125" style="28" customWidth="1"/>
    <col min="2" max="3" width="3.5703125" style="4" customWidth="1"/>
    <col min="4" max="4" width="32.5703125" style="67" customWidth="1"/>
    <col min="5" max="5" width="21.7109375" style="35" customWidth="1"/>
    <col min="6" max="6" width="20.7109375" style="25" customWidth="1"/>
    <col min="7" max="7" width="4.85546875" style="25" customWidth="1"/>
    <col min="8" max="8" width="8.5703125" style="25" customWidth="1"/>
    <col min="9" max="9" width="10.7109375" style="25" customWidth="1"/>
    <col min="10" max="10" width="8.140625" style="25" customWidth="1"/>
    <col min="11" max="11" width="9.42578125" style="25" customWidth="1"/>
    <col min="12" max="12" width="9.7109375" style="25" customWidth="1"/>
    <col min="13" max="13" width="10.85546875" style="25" customWidth="1"/>
    <col min="14" max="14" width="26.7109375" style="4" customWidth="1"/>
    <col min="15" max="16384" width="11.42578125" style="28"/>
  </cols>
  <sheetData>
    <row r="1" spans="1:14" ht="14.25" x14ac:dyDescent="0.2">
      <c r="B1" s="270" t="s">
        <v>28</v>
      </c>
      <c r="C1" s="205"/>
      <c r="D1" s="129"/>
      <c r="E1" s="130"/>
      <c r="F1" s="131"/>
      <c r="G1" s="131"/>
      <c r="H1" s="131"/>
      <c r="I1" s="131"/>
      <c r="J1" s="131"/>
      <c r="K1" s="131"/>
      <c r="L1" s="131"/>
      <c r="M1" s="131"/>
      <c r="N1" s="132"/>
    </row>
    <row r="2" spans="1:14" ht="20.25" x14ac:dyDescent="0.2">
      <c r="B2" s="133"/>
      <c r="C2" s="206"/>
      <c r="D2" s="77"/>
      <c r="E2" s="387" t="s">
        <v>299</v>
      </c>
      <c r="F2" s="387"/>
      <c r="G2" s="387"/>
      <c r="H2" s="387"/>
      <c r="I2" s="387"/>
      <c r="J2" s="387"/>
      <c r="K2" s="387"/>
      <c r="L2" s="134"/>
      <c r="M2" s="134"/>
      <c r="N2" s="135"/>
    </row>
    <row r="3" spans="1:14" ht="14.25" x14ac:dyDescent="0.2">
      <c r="B3" s="133"/>
      <c r="C3" s="206"/>
      <c r="D3" s="77"/>
      <c r="E3" s="136"/>
      <c r="F3" s="134"/>
      <c r="G3" s="134"/>
      <c r="H3" s="134"/>
      <c r="I3" s="134"/>
      <c r="J3" s="134"/>
      <c r="K3" s="134"/>
      <c r="L3" s="134"/>
      <c r="M3" s="134"/>
      <c r="N3" s="135"/>
    </row>
    <row r="4" spans="1:14" ht="14.25" x14ac:dyDescent="0.2">
      <c r="B4" s="133"/>
      <c r="C4" s="206"/>
      <c r="D4" s="77"/>
      <c r="E4" s="136"/>
      <c r="F4" s="134"/>
      <c r="G4" s="134"/>
      <c r="H4" s="134"/>
      <c r="I4" s="134"/>
      <c r="J4" s="134"/>
      <c r="K4" s="134"/>
      <c r="L4" s="134"/>
      <c r="M4" s="134"/>
      <c r="N4" s="135"/>
    </row>
    <row r="5" spans="1:14" ht="18" customHeight="1" x14ac:dyDescent="0.2">
      <c r="B5" s="137"/>
      <c r="C5" s="39"/>
      <c r="D5" s="77"/>
      <c r="E5" s="388" t="s">
        <v>300</v>
      </c>
      <c r="F5" s="388"/>
      <c r="G5" s="388"/>
      <c r="H5" s="388"/>
      <c r="I5" s="388"/>
      <c r="J5" s="388"/>
      <c r="K5" s="388"/>
      <c r="L5" s="389"/>
      <c r="M5" s="389"/>
      <c r="N5" s="390"/>
    </row>
    <row r="6" spans="1:14" ht="18" customHeight="1" x14ac:dyDescent="0.2">
      <c r="B6" s="137"/>
      <c r="C6" s="39"/>
      <c r="D6" s="77"/>
      <c r="E6" s="141"/>
      <c r="F6" s="141"/>
      <c r="G6" s="141"/>
      <c r="H6" s="141"/>
      <c r="I6" s="141"/>
      <c r="J6" s="149"/>
      <c r="K6" s="149"/>
      <c r="L6" s="142"/>
      <c r="M6" s="142"/>
      <c r="N6" s="143"/>
    </row>
    <row r="7" spans="1:14" ht="18" customHeight="1" thickBot="1" x14ac:dyDescent="0.25">
      <c r="B7" s="137"/>
      <c r="C7" s="39"/>
      <c r="D7" s="393" t="s">
        <v>488</v>
      </c>
      <c r="E7" s="393"/>
      <c r="F7" s="393"/>
      <c r="G7" s="393"/>
      <c r="H7" s="393"/>
      <c r="I7" s="393"/>
      <c r="J7" s="393"/>
      <c r="K7" s="149"/>
      <c r="L7" s="142"/>
      <c r="M7" s="142"/>
      <c r="N7" s="143"/>
    </row>
    <row r="8" spans="1:14" s="27" customFormat="1" ht="36" x14ac:dyDescent="0.2">
      <c r="A8" s="28"/>
      <c r="B8" s="103" t="s">
        <v>292</v>
      </c>
      <c r="C8" s="207" t="s">
        <v>353</v>
      </c>
      <c r="D8" s="104" t="s">
        <v>14</v>
      </c>
      <c r="E8" s="104" t="s">
        <v>286</v>
      </c>
      <c r="F8" s="104" t="s">
        <v>287</v>
      </c>
      <c r="G8" s="104" t="s">
        <v>290</v>
      </c>
      <c r="H8" s="104" t="s">
        <v>291</v>
      </c>
      <c r="I8" s="105" t="s">
        <v>288</v>
      </c>
      <c r="J8" s="104" t="s">
        <v>304</v>
      </c>
      <c r="K8" s="104" t="s">
        <v>305</v>
      </c>
      <c r="L8" s="106" t="s">
        <v>289</v>
      </c>
      <c r="M8" s="107" t="s">
        <v>285</v>
      </c>
      <c r="N8" s="108" t="s">
        <v>296</v>
      </c>
    </row>
    <row r="9" spans="1:14" s="29" customFormat="1" ht="30" customHeight="1" x14ac:dyDescent="0.2">
      <c r="A9" s="5"/>
      <c r="B9" s="109">
        <v>1</v>
      </c>
      <c r="C9" s="208"/>
      <c r="D9" s="95" t="s">
        <v>459</v>
      </c>
      <c r="E9" s="95" t="s">
        <v>87</v>
      </c>
      <c r="F9" s="64"/>
      <c r="G9" s="64">
        <v>15</v>
      </c>
      <c r="H9" s="96">
        <v>1484.2</v>
      </c>
      <c r="I9" s="97">
        <f t="shared" ref="I9:I13" si="0">ROUND(G9*H9,2)</f>
        <v>22263</v>
      </c>
      <c r="J9" s="152">
        <f>IFERROR(IF(ROUND((((I9/G9*30.4)-VLOOKUP((I9/G9*30.4),TARIFA,1))*VLOOKUP((I9/G9*30.4),TARIFA,3)+VLOOKUP((I9/G9*30.4),TARIFA,2)-VLOOKUP((I9/G9*30.4),SUBSIDIO,2))/30.4*G9,2)&lt;0,ROUND(-(((I9/G9*30.4)-VLOOKUP((I9/G9*30.4),TARIFA,1))*VLOOKUP((I9/G9*30.4),TARIFA,3)+VLOOKUP((I9/G9*30.4),TARIFA,2)-VLOOKUP((I9/G9*30.4),SUBSIDIO,2))/30.4*G9,2),0),0)</f>
        <v>0</v>
      </c>
      <c r="K9" s="150">
        <f t="shared" ref="K9:K13" si="1">IF(H9&lt;=248.93,0,(IFERROR(IF(ROUND((((I9/G9*30.4)-VLOOKUP((I9/G9*30.4),TARIFA,1))*VLOOKUP((I9/G9*30.4),TARIFA,3)+VLOOKUP((I9/G9*30.4),TARIFA,2)-VLOOKUP((I9/G9*30.4),SUBSIDIO,2))/30.4*G9,2)&gt;0,ROUND((((I9/G9*30.4)-VLOOKUP((I9/G9*30.4),TARIFA,1))*VLOOKUP((I9/G9*30.4),TARIFA,3)+VLOOKUP((I9/G9*30.4),TARIFA,2)-VLOOKUP((I9/G9*30.4),SUBSIDIO,2))/30.4*G9,2),0),0)))</f>
        <v>4080.32</v>
      </c>
      <c r="L9" s="98">
        <f t="shared" ref="L9:L12" si="2">K9</f>
        <v>4080.32</v>
      </c>
      <c r="M9" s="98">
        <f t="shared" ref="M9:M12" si="3">I9+J9-L9</f>
        <v>18182.68</v>
      </c>
      <c r="N9" s="110"/>
    </row>
    <row r="10" spans="1:14" s="29" customFormat="1" ht="30" customHeight="1" x14ac:dyDescent="0.2">
      <c r="A10" s="5"/>
      <c r="B10" s="109">
        <v>2</v>
      </c>
      <c r="C10" s="208" t="s">
        <v>353</v>
      </c>
      <c r="D10" s="95" t="s">
        <v>485</v>
      </c>
      <c r="E10" s="95" t="s">
        <v>106</v>
      </c>
      <c r="F10" s="361"/>
      <c r="G10" s="64">
        <v>15</v>
      </c>
      <c r="H10" s="96">
        <v>335.33300000000003</v>
      </c>
      <c r="I10" s="97">
        <f t="shared" si="0"/>
        <v>5030</v>
      </c>
      <c r="J10" s="152">
        <f t="shared" ref="J10:J12" si="4">IFERROR(IF(ROUND((((I10/G10*30.4)-VLOOKUP((I10/G10*30.4),TARIFA,1))*VLOOKUP((I10/G10*30.4),TARIFA,3)+VLOOKUP((I10/G10*30.4),TARIFA,2)-VLOOKUP((I10/G10*30.4),SUBSIDIO,2))/30.4*G10,2)&lt;0,ROUND(-(((I10/G10*30.4)-VLOOKUP((I10/G10*30.4),TARIFA,1))*VLOOKUP((I10/G10*30.4),TARIFA,3)+VLOOKUP((I10/G10*30.4),TARIFA,2)-VLOOKUP((I10/G10*30.4),SUBSIDIO,2))/30.4*G10,2),0),0)</f>
        <v>0</v>
      </c>
      <c r="K10" s="150">
        <f t="shared" si="1"/>
        <v>390.8</v>
      </c>
      <c r="L10" s="98">
        <f t="shared" si="2"/>
        <v>390.8</v>
      </c>
      <c r="M10" s="98">
        <f t="shared" si="3"/>
        <v>4639.2</v>
      </c>
      <c r="N10" s="110"/>
    </row>
    <row r="11" spans="1:14" s="5" customFormat="1" ht="30" customHeight="1" x14ac:dyDescent="0.2">
      <c r="B11" s="109">
        <v>3</v>
      </c>
      <c r="C11" s="208"/>
      <c r="D11" s="95" t="s">
        <v>135</v>
      </c>
      <c r="E11" s="95" t="s">
        <v>122</v>
      </c>
      <c r="F11" s="64"/>
      <c r="G11" s="64">
        <v>15</v>
      </c>
      <c r="H11" s="96">
        <v>582.4</v>
      </c>
      <c r="I11" s="97">
        <f t="shared" si="0"/>
        <v>8736</v>
      </c>
      <c r="J11" s="152">
        <f t="shared" si="4"/>
        <v>0</v>
      </c>
      <c r="K11" s="150">
        <f t="shared" si="1"/>
        <v>1042.98</v>
      </c>
      <c r="L11" s="98">
        <f t="shared" si="2"/>
        <v>1042.98</v>
      </c>
      <c r="M11" s="98">
        <f t="shared" si="3"/>
        <v>7693.02</v>
      </c>
      <c r="N11" s="110"/>
    </row>
    <row r="12" spans="1:14" s="27" customFormat="1" ht="30" customHeight="1" x14ac:dyDescent="0.2">
      <c r="A12" s="28"/>
      <c r="B12" s="109">
        <v>4</v>
      </c>
      <c r="C12" s="208"/>
      <c r="D12" s="95" t="s">
        <v>165</v>
      </c>
      <c r="E12" s="95" t="s">
        <v>81</v>
      </c>
      <c r="F12" s="361"/>
      <c r="G12" s="64">
        <v>15</v>
      </c>
      <c r="H12" s="96">
        <v>186.26650000000001</v>
      </c>
      <c r="I12" s="97">
        <f t="shared" si="0"/>
        <v>2794</v>
      </c>
      <c r="J12" s="152">
        <f t="shared" si="4"/>
        <v>0</v>
      </c>
      <c r="K12" s="150">
        <f t="shared" si="1"/>
        <v>0</v>
      </c>
      <c r="L12" s="146">
        <f t="shared" si="2"/>
        <v>0</v>
      </c>
      <c r="M12" s="98">
        <f t="shared" si="3"/>
        <v>2794</v>
      </c>
      <c r="N12" s="110"/>
    </row>
    <row r="13" spans="1:14" s="29" customFormat="1" ht="30" customHeight="1" x14ac:dyDescent="0.2">
      <c r="A13" s="5"/>
      <c r="B13" s="109">
        <v>5</v>
      </c>
      <c r="C13" s="208"/>
      <c r="D13" s="95" t="s">
        <v>166</v>
      </c>
      <c r="E13" s="95" t="s">
        <v>86</v>
      </c>
      <c r="F13" s="361"/>
      <c r="G13" s="64">
        <v>15</v>
      </c>
      <c r="H13" s="96">
        <v>314.60000000000002</v>
      </c>
      <c r="I13" s="97">
        <f t="shared" si="0"/>
        <v>4719</v>
      </c>
      <c r="J13" s="152">
        <f>IFERROR(IF(ROUND((((I13/G13*30.4)-VLOOKUP((I13/G13*30.4),TARIFA,1))*VLOOKUP((I13/G13*30.4),TARIFA,3)+VLOOKUP((I13/G13*30.4),TARIFA,2)-VLOOKUP((I13/G13*30.4),SUBSIDIO,2))/30.4*G13,2)&lt;0,ROUND(-(((I13/G13*30.4)-VLOOKUP((I13/G13*30.4),TARIFA,1))*VLOOKUP((I13/G13*30.4),TARIFA,3)+VLOOKUP((I13/G13*30.4),TARIFA,2)-VLOOKUP((I13/G13*30.4),SUBSIDIO,2))/30.4*G13,2),0),0)</f>
        <v>0</v>
      </c>
      <c r="K13" s="150">
        <f t="shared" si="1"/>
        <v>356.96</v>
      </c>
      <c r="L13" s="98">
        <f>K13</f>
        <v>356.96</v>
      </c>
      <c r="M13" s="98">
        <f>I13+J13-L13</f>
        <v>4362.04</v>
      </c>
      <c r="N13" s="110"/>
    </row>
    <row r="14" spans="1:14" s="30" customFormat="1" ht="30" customHeight="1" x14ac:dyDescent="0.2">
      <c r="A14" s="26"/>
      <c r="B14" s="111"/>
      <c r="C14" s="209"/>
      <c r="D14" s="73"/>
      <c r="E14" s="66" t="s">
        <v>114</v>
      </c>
      <c r="F14" s="391"/>
      <c r="G14" s="392"/>
      <c r="H14" s="65"/>
      <c r="I14" s="100">
        <f>SUM(I9:I13)</f>
        <v>43542</v>
      </c>
      <c r="J14" s="145">
        <f>SUM(J9:J13)</f>
        <v>0</v>
      </c>
      <c r="K14" s="100">
        <f>SUM(K9:K13)</f>
        <v>5871.06</v>
      </c>
      <c r="L14" s="100">
        <f>SUM(L9:L13)</f>
        <v>5871.06</v>
      </c>
      <c r="M14" s="100">
        <f>SUM(M9:M13)</f>
        <v>37670.94</v>
      </c>
      <c r="N14" s="112"/>
    </row>
    <row r="15" spans="1:14" s="27" customFormat="1" ht="30" customHeight="1" x14ac:dyDescent="0.2">
      <c r="A15" s="28"/>
      <c r="B15" s="394" t="s">
        <v>34</v>
      </c>
      <c r="C15" s="395"/>
      <c r="D15" s="395"/>
      <c r="E15" s="395"/>
      <c r="F15" s="395"/>
      <c r="G15" s="395"/>
      <c r="H15" s="395"/>
      <c r="I15" s="395"/>
      <c r="J15" s="395"/>
      <c r="K15" s="395"/>
      <c r="L15" s="395"/>
      <c r="M15" s="395"/>
      <c r="N15" s="396"/>
    </row>
    <row r="16" spans="1:14" s="29" customFormat="1" ht="30" customHeight="1" x14ac:dyDescent="0.2">
      <c r="A16" s="5"/>
      <c r="B16" s="109">
        <v>6</v>
      </c>
      <c r="C16" s="208"/>
      <c r="D16" s="101" t="s">
        <v>150</v>
      </c>
      <c r="E16" s="95" t="s">
        <v>77</v>
      </c>
      <c r="F16" s="362"/>
      <c r="G16" s="64">
        <v>15</v>
      </c>
      <c r="H16" s="96">
        <v>844.13300000000004</v>
      </c>
      <c r="I16" s="97">
        <f>ROUND(G16*H16,2)</f>
        <v>12662</v>
      </c>
      <c r="J16" s="150">
        <f>IFERROR(IF(ROUND((((I16/G16*30.4)-VLOOKUP((I16/G16*30.4),TARIFA,1))*VLOOKUP((I16/G16*30.4),TARIFA,3)+VLOOKUP((I16/G16*30.4),TARIFA,2)-VLOOKUP((I16/G16*30.4),SUBSIDIO,2))/30.4*G16,2)&lt;0,ROUND(-(((I16/G16*30.4)-VLOOKUP((I16/G16*30.4),TARIFA,1))*VLOOKUP((I16/G16*30.4),TARIFA,3)+VLOOKUP((I16/G16*30.4),TARIFA,2)-VLOOKUP((I16/G16*30.4),SUBSIDIO,2))/30.4*G16,2),0),0)</f>
        <v>0</v>
      </c>
      <c r="K16" s="150">
        <f>IF(H16&lt;=248.93,0,(IFERROR(IF(ROUND((((I16/G16*30.4)-VLOOKUP((I16/G16*30.4),TARIFA,1))*VLOOKUP((I16/G16*30.4),TARIFA,3)+VLOOKUP((I16/G16*30.4),TARIFA,2)-VLOOKUP((I16/G16*30.4),SUBSIDIO,2))/30.4*G16,2)&gt;0,ROUND((((I16/G16*30.4)-VLOOKUP((I16/G16*30.4),TARIFA,1))*VLOOKUP((I16/G16*30.4),TARIFA,3)+VLOOKUP((I16/G16*30.4),TARIFA,2)-VLOOKUP((I16/G16*30.4),SUBSIDIO,2))/30.4*G16,2),0),0)))</f>
        <v>1881.58</v>
      </c>
      <c r="L16" s="98">
        <f>K16</f>
        <v>1881.58</v>
      </c>
      <c r="M16" s="98">
        <f>I16+J16-L16</f>
        <v>10780.42</v>
      </c>
      <c r="N16" s="113"/>
    </row>
    <row r="17" spans="1:97" s="30" customFormat="1" ht="30" customHeight="1" x14ac:dyDescent="0.2">
      <c r="A17" s="26"/>
      <c r="B17" s="111"/>
      <c r="C17" s="209"/>
      <c r="D17" s="73"/>
      <c r="E17" s="66" t="s">
        <v>33</v>
      </c>
      <c r="F17" s="66"/>
      <c r="G17" s="66"/>
      <c r="H17" s="102"/>
      <c r="I17" s="100">
        <f>SUM(I16:I16)</f>
        <v>12662</v>
      </c>
      <c r="J17" s="145">
        <f>SUM(J16:J16)</f>
        <v>0</v>
      </c>
      <c r="K17" s="100">
        <f>SUM(K16:K16)</f>
        <v>1881.58</v>
      </c>
      <c r="L17" s="100">
        <f>SUM(L16:L16)</f>
        <v>1881.58</v>
      </c>
      <c r="M17" s="100">
        <f>SUM(M16:M16)</f>
        <v>10780.42</v>
      </c>
      <c r="N17" s="112"/>
    </row>
    <row r="18" spans="1:97" s="5" customFormat="1" ht="30" customHeight="1" x14ac:dyDescent="0.2">
      <c r="B18" s="394" t="s">
        <v>78</v>
      </c>
      <c r="C18" s="395"/>
      <c r="D18" s="395"/>
      <c r="E18" s="395"/>
      <c r="F18" s="395"/>
      <c r="G18" s="395"/>
      <c r="H18" s="395"/>
      <c r="I18" s="395"/>
      <c r="J18" s="395"/>
      <c r="K18" s="395"/>
      <c r="L18" s="395"/>
      <c r="M18" s="395"/>
      <c r="N18" s="396"/>
    </row>
    <row r="19" spans="1:97" ht="30" customHeight="1" x14ac:dyDescent="0.2">
      <c r="B19" s="109">
        <v>7</v>
      </c>
      <c r="C19" s="208"/>
      <c r="D19" s="101" t="s">
        <v>167</v>
      </c>
      <c r="E19" s="95" t="s">
        <v>35</v>
      </c>
      <c r="F19" s="361"/>
      <c r="G19" s="64">
        <v>15</v>
      </c>
      <c r="H19" s="96">
        <v>416</v>
      </c>
      <c r="I19" s="97">
        <f>ROUND(G19*H19,2)</f>
        <v>6240</v>
      </c>
      <c r="J19" s="150">
        <f>IFERROR(IF(ROUND((((I19/G19*30.4)-VLOOKUP((I19/G19*30.4),TARIFA,1))*VLOOKUP((I19/G19*30.4),TARIFA,3)+VLOOKUP((I19/G19*30.4),TARIFA,2)-VLOOKUP((I19/G19*30.4),SUBSIDIO,2))/30.4*G19,2)&lt;0,ROUND(-(((I19/G19*30.4)-VLOOKUP((I19/G19*30.4),TARIFA,1))*VLOOKUP((I19/G19*30.4),TARIFA,3)+VLOOKUP((I19/G19*30.4),TARIFA,2)-VLOOKUP((I19/G19*30.4),SUBSIDIO,2))/30.4*G19,2),0),0)</f>
        <v>0</v>
      </c>
      <c r="K19" s="150">
        <f>IF(H19&lt;=248.93,0,(IFERROR(IF(ROUND((((I19/G19*30.4)-VLOOKUP((I19/G19*30.4),TARIFA,1))*VLOOKUP((I19/G19*30.4),TARIFA,3)+VLOOKUP((I19/G19*30.4),TARIFA,2)-VLOOKUP((I19/G19*30.4),SUBSIDIO,2))/30.4*G19,2)&gt;0,ROUND((((I19/G19*30.4)-VLOOKUP((I19/G19*30.4),TARIFA,1))*VLOOKUP((I19/G19*30.4),TARIFA,3)+VLOOKUP((I19/G19*30.4),TARIFA,2)-VLOOKUP((I19/G19*30.4),SUBSIDIO,2))/30.4*G19,2),0),0)))</f>
        <v>560.80999999999995</v>
      </c>
      <c r="L19" s="98">
        <f>K19</f>
        <v>560.80999999999995</v>
      </c>
      <c r="M19" s="98">
        <f>I19+J19-L19</f>
        <v>5679.1900000000005</v>
      </c>
      <c r="N19" s="113"/>
    </row>
    <row r="20" spans="1:97" ht="30" customHeight="1" x14ac:dyDescent="0.2">
      <c r="B20" s="109">
        <v>8</v>
      </c>
      <c r="C20" s="208"/>
      <c r="D20" s="101" t="s">
        <v>168</v>
      </c>
      <c r="E20" s="95" t="s">
        <v>42</v>
      </c>
      <c r="F20" s="361"/>
      <c r="G20" s="64">
        <v>15</v>
      </c>
      <c r="H20" s="96">
        <v>285.06650000000002</v>
      </c>
      <c r="I20" s="97">
        <f>ROUND(G20*H20,2)</f>
        <v>4276</v>
      </c>
      <c r="J20" s="150">
        <f>IFERROR(IF(ROUND((((I20/G20*30.4)-VLOOKUP((I20/G20*30.4),TARIFA,1))*VLOOKUP((I20/G20*30.4),TARIFA,3)+VLOOKUP((I20/G20*30.4),TARIFA,2)-VLOOKUP((I20/G20*30.4),SUBSIDIO,2))/30.4*G20,2)&lt;0,ROUND(-(((I20/G20*30.4)-VLOOKUP((I20/G20*30.4),TARIFA,1))*VLOOKUP((I20/G20*30.4),TARIFA,3)+VLOOKUP((I20/G20*30.4),TARIFA,2)-VLOOKUP((I20/G20*30.4),SUBSIDIO,2))/30.4*G20,2),0),0)</f>
        <v>0</v>
      </c>
      <c r="K20" s="150">
        <f>IF(H20&lt;=248.93,0,(IFERROR(IF(ROUND((((I20/G20*30.4)-VLOOKUP((I20/G20*30.4),TARIFA,1))*VLOOKUP((I20/G20*30.4),TARIFA,3)+VLOOKUP((I20/G20*30.4),TARIFA,2)-VLOOKUP((I20/G20*30.4),SUBSIDIO,2))/30.4*G20,2)&gt;0,ROUND((((I20/G20*30.4)-VLOOKUP((I20/G20*30.4),TARIFA,1))*VLOOKUP((I20/G20*30.4),TARIFA,3)+VLOOKUP((I20/G20*30.4),TARIFA,2)-VLOOKUP((I20/G20*30.4),SUBSIDIO,2))/30.4*G20,2),0),0)))</f>
        <v>308.77</v>
      </c>
      <c r="L20" s="98">
        <f>K20</f>
        <v>308.77</v>
      </c>
      <c r="M20" s="98">
        <f>I20+J20-L20</f>
        <v>3967.23</v>
      </c>
      <c r="N20" s="113"/>
    </row>
    <row r="21" spans="1:97" s="5" customFormat="1" ht="30" customHeight="1" x14ac:dyDescent="0.2">
      <c r="B21" s="109"/>
      <c r="C21" s="208"/>
      <c r="D21" s="72"/>
      <c r="E21" s="66" t="s">
        <v>33</v>
      </c>
      <c r="F21" s="391"/>
      <c r="G21" s="392"/>
      <c r="H21" s="102"/>
      <c r="I21" s="100">
        <f>SUM(I19:I20)</f>
        <v>10516</v>
      </c>
      <c r="J21" s="145">
        <f>SUM(J19:J20)</f>
        <v>0</v>
      </c>
      <c r="K21" s="100">
        <f>SUM(K19:K20)</f>
        <v>869.57999999999993</v>
      </c>
      <c r="L21" s="100">
        <f>SUM(L19:L20)</f>
        <v>869.57999999999993</v>
      </c>
      <c r="M21" s="100">
        <f>SUM(M19:M20)</f>
        <v>9646.42</v>
      </c>
      <c r="N21" s="112"/>
    </row>
    <row r="22" spans="1:97" ht="30" customHeight="1" x14ac:dyDescent="0.2">
      <c r="B22" s="394" t="s">
        <v>36</v>
      </c>
      <c r="C22" s="395"/>
      <c r="D22" s="395"/>
      <c r="E22" s="395"/>
      <c r="F22" s="395"/>
      <c r="G22" s="395"/>
      <c r="H22" s="395"/>
      <c r="I22" s="395"/>
      <c r="J22" s="395"/>
      <c r="K22" s="395"/>
      <c r="L22" s="395"/>
      <c r="M22" s="395"/>
      <c r="N22" s="396"/>
    </row>
    <row r="23" spans="1:97" s="5" customFormat="1" ht="30" customHeight="1" x14ac:dyDescent="0.2">
      <c r="A23" s="5" t="s">
        <v>28</v>
      </c>
      <c r="B23" s="109">
        <v>9</v>
      </c>
      <c r="C23" s="208"/>
      <c r="D23" s="101" t="s">
        <v>169</v>
      </c>
      <c r="E23" s="95" t="s">
        <v>35</v>
      </c>
      <c r="F23" s="361"/>
      <c r="G23" s="64">
        <v>15</v>
      </c>
      <c r="H23" s="96">
        <v>315.13299999999998</v>
      </c>
      <c r="I23" s="97">
        <f>ROUND(G23*H23,2)</f>
        <v>4727</v>
      </c>
      <c r="J23" s="150">
        <f>IFERROR(IF(ROUND((((I23/G23*30.4)-VLOOKUP((I23/G23*30.4),TARIFA,1))*VLOOKUP((I23/G23*30.4),TARIFA,3)+VLOOKUP((I23/G23*30.4),TARIFA,2)-VLOOKUP((I23/G23*30.4),SUBSIDIO,2))/30.4*G23,2)&lt;0,ROUND(-(((I23/G23*30.4)-VLOOKUP((I23/G23*30.4),TARIFA,1))*VLOOKUP((I23/G23*30.4),TARIFA,3)+VLOOKUP((I23/G23*30.4),TARIFA,2)-VLOOKUP((I23/G23*30.4),SUBSIDIO,2))/30.4*G23,2),0),0)</f>
        <v>0</v>
      </c>
      <c r="K23" s="150">
        <f>IF(H23&lt;=248.93,0,(IFERROR(IF(ROUND((((I23/G23*30.4)-VLOOKUP((I23/G23*30.4),TARIFA,1))*VLOOKUP((I23/G23*30.4),TARIFA,3)+VLOOKUP((I23/G23*30.4),TARIFA,2)-VLOOKUP((I23/G23*30.4),SUBSIDIO,2))/30.4*G23,2)&gt;0,ROUND((((I23/G23*30.4)-VLOOKUP((I23/G23*30.4),TARIFA,1))*VLOOKUP((I23/G23*30.4),TARIFA,3)+VLOOKUP((I23/G23*30.4),TARIFA,2)-VLOOKUP((I23/G23*30.4),SUBSIDIO,2))/30.4*G23,2),0),0)))</f>
        <v>357.83</v>
      </c>
      <c r="L23" s="98">
        <f>K23</f>
        <v>357.83</v>
      </c>
      <c r="M23" s="98">
        <f>I23+J23-L23</f>
        <v>4369.17</v>
      </c>
      <c r="N23" s="113"/>
    </row>
    <row r="24" spans="1:97" ht="30" customHeight="1" x14ac:dyDescent="0.2">
      <c r="B24" s="109">
        <v>10</v>
      </c>
      <c r="C24" s="208"/>
      <c r="D24" s="101" t="s">
        <v>170</v>
      </c>
      <c r="E24" s="95" t="s">
        <v>37</v>
      </c>
      <c r="F24" s="361"/>
      <c r="G24" s="64">
        <v>15</v>
      </c>
      <c r="H24" s="96">
        <v>285.06650000000002</v>
      </c>
      <c r="I24" s="97">
        <f t="shared" ref="I24:I27" si="5">ROUND(G24*H24,2)</f>
        <v>4276</v>
      </c>
      <c r="J24" s="150">
        <f>IFERROR(IF(ROUND((((I24/G24*30.4)-VLOOKUP((I24/G24*30.4),TARIFA,1))*VLOOKUP((I24/G24*30.4),TARIFA,3)+VLOOKUP((I24/G24*30.4),TARIFA,2)-VLOOKUP((I24/G24*30.4),SUBSIDIO,2))/30.4*G24,2)&lt;0,ROUND(-(((I24/G24*30.4)-VLOOKUP((I24/G24*30.4),TARIFA,1))*VLOOKUP((I24/G24*30.4),TARIFA,3)+VLOOKUP((I24/G24*30.4),TARIFA,2)-VLOOKUP((I24/G24*30.4),SUBSIDIO,2))/30.4*G24,2),0),0)</f>
        <v>0</v>
      </c>
      <c r="K24" s="150">
        <f>IF(H24&lt;=248.93,0,(IFERROR(IF(ROUND((((I24/G24*30.4)-VLOOKUP((I24/G24*30.4),TARIFA,1))*VLOOKUP((I24/G24*30.4),TARIFA,3)+VLOOKUP((I24/G24*30.4),TARIFA,2)-VLOOKUP((I24/G24*30.4),SUBSIDIO,2))/30.4*G24,2)&gt;0,ROUND((((I24/G24*30.4)-VLOOKUP((I24/G24*30.4),TARIFA,1))*VLOOKUP((I24/G24*30.4),TARIFA,3)+VLOOKUP((I24/G24*30.4),TARIFA,2)-VLOOKUP((I24/G24*30.4),SUBSIDIO,2))/30.4*G24,2),0),0)))</f>
        <v>308.77</v>
      </c>
      <c r="L24" s="98">
        <f>K24</f>
        <v>308.77</v>
      </c>
      <c r="M24" s="98">
        <f>I24+J24-L24</f>
        <v>3967.23</v>
      </c>
      <c r="N24" s="113"/>
    </row>
    <row r="25" spans="1:97" ht="30" customHeight="1" x14ac:dyDescent="0.2">
      <c r="B25" s="109">
        <v>11</v>
      </c>
      <c r="C25" s="208"/>
      <c r="D25" s="101" t="s">
        <v>171</v>
      </c>
      <c r="E25" s="95" t="s">
        <v>38</v>
      </c>
      <c r="F25" s="361"/>
      <c r="G25" s="64">
        <v>15</v>
      </c>
      <c r="H25" s="96">
        <v>198.53299999999999</v>
      </c>
      <c r="I25" s="97">
        <f t="shared" si="5"/>
        <v>2978</v>
      </c>
      <c r="J25" s="150">
        <f>IFERROR(IF(ROUND((((I25/G25*30.4)-VLOOKUP((I25/G25*30.4),TARIFA,1))*VLOOKUP((I25/G25*30.4),TARIFA,3)+VLOOKUP((I25/G25*30.4),TARIFA,2)-VLOOKUP((I25/G25*30.4),SUBSIDIO,2))/30.4*G25,2)&lt;0,ROUND(-(((I25/G25*30.4)-VLOOKUP((I25/G25*30.4),TARIFA,1))*VLOOKUP((I25/G25*30.4),TARIFA,3)+VLOOKUP((I25/G25*30.4),TARIFA,2)-VLOOKUP((I25/G25*30.4),SUBSIDIO,2))/30.4*G25,2),0),0)</f>
        <v>0</v>
      </c>
      <c r="K25" s="150">
        <f>IF(H25&lt;=248.93,0,(IFERROR(IF(ROUND((((I25/G25*30.4)-VLOOKUP((I25/G25*30.4),TARIFA,1))*VLOOKUP((I25/G25*30.4),TARIFA,3)+VLOOKUP((I25/G25*30.4),TARIFA,2)-VLOOKUP((I25/G25*30.4),SUBSIDIO,2))/30.4*G25,2)&gt;0,ROUND((((I25/G25*30.4)-VLOOKUP((I25/G25*30.4),TARIFA,1))*VLOOKUP((I25/G25*30.4),TARIFA,3)+VLOOKUP((I25/G25*30.4),TARIFA,2)-VLOOKUP((I25/G25*30.4),SUBSIDIO,2))/30.4*G25,2),0),0)))</f>
        <v>0</v>
      </c>
      <c r="L25" s="146">
        <f>K25</f>
        <v>0</v>
      </c>
      <c r="M25" s="98">
        <f>I25+J25-L25</f>
        <v>2978</v>
      </c>
      <c r="N25" s="113"/>
    </row>
    <row r="26" spans="1:97" ht="30" customHeight="1" x14ac:dyDescent="0.2">
      <c r="B26" s="109">
        <v>12</v>
      </c>
      <c r="C26" s="208"/>
      <c r="D26" s="101" t="s">
        <v>172</v>
      </c>
      <c r="E26" s="95" t="s">
        <v>38</v>
      </c>
      <c r="F26" s="361"/>
      <c r="G26" s="64">
        <v>15</v>
      </c>
      <c r="H26" s="96">
        <v>198.53299999999999</v>
      </c>
      <c r="I26" s="97">
        <f t="shared" si="5"/>
        <v>2978</v>
      </c>
      <c r="J26" s="150">
        <f>IFERROR(IF(ROUND((((I26/G26*30.4)-VLOOKUP((I26/G26*30.4),TARIFA,1))*VLOOKUP((I26/G26*30.4),TARIFA,3)+VLOOKUP((I26/G26*30.4),TARIFA,2)-VLOOKUP((I26/G26*30.4),SUBSIDIO,2))/30.4*G26,2)&lt;0,ROUND(-(((I26/G26*30.4)-VLOOKUP((I26/G26*30.4),TARIFA,1))*VLOOKUP((I26/G26*30.4),TARIFA,3)+VLOOKUP((I26/G26*30.4),TARIFA,2)-VLOOKUP((I26/G26*30.4),SUBSIDIO,2))/30.4*G26,2),0),0)</f>
        <v>0</v>
      </c>
      <c r="K26" s="150">
        <f>IF(H26&lt;=248.93,0,(IFERROR(IF(ROUND((((I26/G26*30.4)-VLOOKUP((I26/G26*30.4),TARIFA,1))*VLOOKUP((I26/G26*30.4),TARIFA,3)+VLOOKUP((I26/G26*30.4),TARIFA,2)-VLOOKUP((I26/G26*30.4),SUBSIDIO,2))/30.4*G26,2)&gt;0,ROUND((((I26/G26*30.4)-VLOOKUP((I26/G26*30.4),TARIFA,1))*VLOOKUP((I26/G26*30.4),TARIFA,3)+VLOOKUP((I26/G26*30.4),TARIFA,2)-VLOOKUP((I26/G26*30.4),SUBSIDIO,2))/30.4*G26,2),0),0)))</f>
        <v>0</v>
      </c>
      <c r="L26" s="146">
        <f>K26</f>
        <v>0</v>
      </c>
      <c r="M26" s="98">
        <f>I26+J26-L26</f>
        <v>2978</v>
      </c>
      <c r="N26" s="113"/>
    </row>
    <row r="27" spans="1:97" ht="30" customHeight="1" x14ac:dyDescent="0.2">
      <c r="B27" s="109">
        <v>13</v>
      </c>
      <c r="C27" s="208" t="s">
        <v>353</v>
      </c>
      <c r="D27" s="101" t="s">
        <v>366</v>
      </c>
      <c r="E27" s="95" t="s">
        <v>38</v>
      </c>
      <c r="F27" s="361"/>
      <c r="G27" s="64">
        <v>15</v>
      </c>
      <c r="H27" s="96">
        <v>198.53299999999999</v>
      </c>
      <c r="I27" s="97">
        <f t="shared" si="5"/>
        <v>2978</v>
      </c>
      <c r="J27" s="150">
        <f>IFERROR(IF(ROUND((((I27/G27*30.4)-VLOOKUP((I27/G27*30.4),TARIFA,1))*VLOOKUP((I27/G27*30.4),TARIFA,3)+VLOOKUP((I27/G27*30.4),TARIFA,2)-VLOOKUP((I27/G27*30.4),SUBSIDIO,2))/30.4*G27,2)&lt;0,ROUND(-(((I27/G27*30.4)-VLOOKUP((I27/G27*30.4),TARIFA,1))*VLOOKUP((I27/G27*30.4),TARIFA,3)+VLOOKUP((I27/G27*30.4),TARIFA,2)-VLOOKUP((I27/G27*30.4),SUBSIDIO,2))/30.4*G27,2),0),0)</f>
        <v>0</v>
      </c>
      <c r="K27" s="150">
        <f>IF(H27&lt;=248.93,0,(IFERROR(IF(ROUND((((I27/G27*30.4)-VLOOKUP((I27/G27*30.4),TARIFA,1))*VLOOKUP((I27/G27*30.4),TARIFA,3)+VLOOKUP((I27/G27*30.4),TARIFA,2)-VLOOKUP((I27/G27*30.4),SUBSIDIO,2))/30.4*G27,2)&gt;0,ROUND((((I27/G27*30.4)-VLOOKUP((I27/G27*30.4),TARIFA,1))*VLOOKUP((I27/G27*30.4),TARIFA,3)+VLOOKUP((I27/G27*30.4),TARIFA,2)-VLOOKUP((I27/G27*30.4),SUBSIDIO,2))/30.4*G27,2),0),0)))</f>
        <v>0</v>
      </c>
      <c r="L27" s="146">
        <f>K27</f>
        <v>0</v>
      </c>
      <c r="M27" s="98">
        <f>I27+J27-L27</f>
        <v>2978</v>
      </c>
      <c r="N27" s="113"/>
    </row>
    <row r="28" spans="1:97" ht="30" customHeight="1" x14ac:dyDescent="0.2">
      <c r="B28" s="109"/>
      <c r="C28" s="208"/>
      <c r="D28" s="72"/>
      <c r="E28" s="66" t="s">
        <v>33</v>
      </c>
      <c r="F28" s="391"/>
      <c r="G28" s="392"/>
      <c r="H28" s="102"/>
      <c r="I28" s="100">
        <f>SUM(I23:I27)</f>
        <v>17937</v>
      </c>
      <c r="J28" s="145">
        <v>0</v>
      </c>
      <c r="K28" s="100">
        <f>SUM(K23:K27)</f>
        <v>666.59999999999991</v>
      </c>
      <c r="L28" s="100">
        <f>SUM(L23:L27)</f>
        <v>666.59999999999991</v>
      </c>
      <c r="M28" s="100">
        <f>SUM(M23:M27)</f>
        <v>17270.400000000001</v>
      </c>
      <c r="N28" s="112"/>
    </row>
    <row r="29" spans="1:97" ht="30" customHeight="1" x14ac:dyDescent="0.2">
      <c r="B29" s="394" t="s">
        <v>148</v>
      </c>
      <c r="C29" s="395"/>
      <c r="D29" s="395"/>
      <c r="E29" s="395"/>
      <c r="F29" s="395"/>
      <c r="G29" s="395"/>
      <c r="H29" s="395"/>
      <c r="I29" s="395"/>
      <c r="J29" s="395"/>
      <c r="K29" s="395"/>
      <c r="L29" s="395"/>
      <c r="M29" s="395"/>
      <c r="N29" s="396"/>
    </row>
    <row r="30" spans="1:97" s="5" customFormat="1" ht="30" customHeight="1" x14ac:dyDescent="0.2">
      <c r="B30" s="109">
        <v>14</v>
      </c>
      <c r="C30" s="208"/>
      <c r="D30" s="101" t="s">
        <v>173</v>
      </c>
      <c r="E30" s="95" t="s">
        <v>158</v>
      </c>
      <c r="F30" s="64"/>
      <c r="G30" s="64">
        <v>15</v>
      </c>
      <c r="H30" s="96">
        <v>381.4665</v>
      </c>
      <c r="I30" s="97">
        <f t="shared" ref="I30:I31" si="6">ROUND(G30*H30,2)</f>
        <v>5722</v>
      </c>
      <c r="J30" s="150">
        <f>IFERROR(IF(ROUND((((I30/G30*30.4)-VLOOKUP((I30/G30*30.4),TARIFA,1))*VLOOKUP((I30/G30*30.4),TARIFA,3)+VLOOKUP((I30/G30*30.4),TARIFA,2)-VLOOKUP((I30/G30*30.4),SUBSIDIO,2))/30.4*G30,2)&lt;0,ROUND(-(((I30/G30*30.4)-VLOOKUP((I30/G30*30.4),TARIFA,1))*VLOOKUP((I30/G30*30.4),TARIFA,3)+VLOOKUP((I30/G30*30.4),TARIFA,2)-VLOOKUP((I30/G30*30.4),SUBSIDIO,2))/30.4*G30,2),0),0)</f>
        <v>0</v>
      </c>
      <c r="K30" s="150">
        <f>IF(H30&lt;=248.93,0,(IFERROR(IF(ROUND((((I30/G30*30.4)-VLOOKUP((I30/G30*30.4),TARIFA,1))*VLOOKUP((I30/G30*30.4),TARIFA,3)+VLOOKUP((I30/G30*30.4),TARIFA,2)-VLOOKUP((I30/G30*30.4),SUBSIDIO,2))/30.4*G30,2)&gt;0,ROUND((((I30/G30*30.4)-VLOOKUP((I30/G30*30.4),TARIFA,1))*VLOOKUP((I30/G30*30.4),TARIFA,3)+VLOOKUP((I30/G30*30.4),TARIFA,2)-VLOOKUP((I30/G30*30.4),SUBSIDIO,2))/30.4*G30,2),0),0)))</f>
        <v>477.93</v>
      </c>
      <c r="L30" s="98">
        <f>K30</f>
        <v>477.93</v>
      </c>
      <c r="M30" s="98">
        <f>I30+J30-L30</f>
        <v>5244.07</v>
      </c>
      <c r="N30" s="113"/>
    </row>
    <row r="31" spans="1:97" s="79" customFormat="1" ht="30" customHeight="1" x14ac:dyDescent="0.2">
      <c r="A31" s="5"/>
      <c r="B31" s="109">
        <v>15</v>
      </c>
      <c r="C31" s="208" t="s">
        <v>353</v>
      </c>
      <c r="D31" s="101" t="s">
        <v>161</v>
      </c>
      <c r="E31" s="95" t="s">
        <v>42</v>
      </c>
      <c r="F31" s="64"/>
      <c r="G31" s="64">
        <v>15</v>
      </c>
      <c r="H31" s="98">
        <v>228.733</v>
      </c>
      <c r="I31" s="97">
        <f t="shared" si="6"/>
        <v>3431</v>
      </c>
      <c r="J31" s="150">
        <f>IFERROR(IF(ROUND((((I31/G31*30.4)-VLOOKUP((I31/G31*30.4),TARIFA,1))*VLOOKUP((I31/G31*30.4),TARIFA,3)+VLOOKUP((I31/G31*30.4),TARIFA,2)-VLOOKUP((I31/G31*30.4),SUBSIDIO,2))/30.4*G31,2)&lt;0,ROUND(-(((I31/G31*30.4)-VLOOKUP((I31/G31*30.4),TARIFA,1))*VLOOKUP((I31/G31*30.4),TARIFA,3)+VLOOKUP((I31/G31*30.4),TARIFA,2)-VLOOKUP((I31/G31*30.4),SUBSIDIO,2))/30.4*G31,2),0),0)</f>
        <v>0</v>
      </c>
      <c r="K31" s="150">
        <f>IF(H31&lt;=248.93,0,(IFERROR(IF(ROUND((((I31/G31*30.4)-VLOOKUP((I31/G31*30.4),TARIFA,1))*VLOOKUP((I31/G31*30.4),TARIFA,3)+VLOOKUP((I31/G31*30.4),TARIFA,2)-VLOOKUP((I31/G31*30.4),SUBSIDIO,2))/30.4*G31,2)&gt;0,ROUND((((I31/G31*30.4)-VLOOKUP((I31/G31*30.4),TARIFA,1))*VLOOKUP((I31/G31*30.4),TARIFA,3)+VLOOKUP((I31/G31*30.4),TARIFA,2)-VLOOKUP((I31/G31*30.4),SUBSIDIO,2))/30.4*G31,2),0),0)))</f>
        <v>0</v>
      </c>
      <c r="L31" s="98">
        <f>K31</f>
        <v>0</v>
      </c>
      <c r="M31" s="98">
        <f>I31+J31-L31</f>
        <v>3431</v>
      </c>
      <c r="N31" s="113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</row>
    <row r="32" spans="1:97" ht="30" customHeight="1" x14ac:dyDescent="0.2">
      <c r="B32" s="109"/>
      <c r="C32" s="208"/>
      <c r="D32" s="72"/>
      <c r="E32" s="66" t="s">
        <v>33</v>
      </c>
      <c r="F32" s="391"/>
      <c r="G32" s="392"/>
      <c r="H32" s="65"/>
      <c r="I32" s="100">
        <f>SUM(I30:I31)</f>
        <v>9153</v>
      </c>
      <c r="J32" s="145">
        <f>SUM(J30:J31)</f>
        <v>0</v>
      </c>
      <c r="K32" s="100">
        <f>SUM(K30:K31)</f>
        <v>477.93</v>
      </c>
      <c r="L32" s="100">
        <f>SUM(L30:L31)</f>
        <v>477.93</v>
      </c>
      <c r="M32" s="100">
        <f>SUM(M30:M31)</f>
        <v>8675.07</v>
      </c>
      <c r="N32" s="112"/>
    </row>
    <row r="33" spans="1:97" ht="30" customHeight="1" x14ac:dyDescent="0.2">
      <c r="B33" s="400" t="s">
        <v>39</v>
      </c>
      <c r="C33" s="401"/>
      <c r="D33" s="401"/>
      <c r="E33" s="401"/>
      <c r="F33" s="401"/>
      <c r="G33" s="401"/>
      <c r="H33" s="401"/>
      <c r="I33" s="401"/>
      <c r="J33" s="401"/>
      <c r="K33" s="401"/>
      <c r="L33" s="401"/>
      <c r="M33" s="401"/>
      <c r="N33" s="402"/>
    </row>
    <row r="34" spans="1:97" s="79" customFormat="1" ht="30" customHeight="1" x14ac:dyDescent="0.2">
      <c r="A34" s="5"/>
      <c r="B34" s="109">
        <v>16</v>
      </c>
      <c r="C34" s="208" t="s">
        <v>353</v>
      </c>
      <c r="D34" s="101" t="s">
        <v>280</v>
      </c>
      <c r="E34" s="95" t="s">
        <v>281</v>
      </c>
      <c r="F34" s="363"/>
      <c r="G34" s="64">
        <v>15</v>
      </c>
      <c r="H34" s="98">
        <v>315.13299999999998</v>
      </c>
      <c r="I34" s="97">
        <f t="shared" ref="I34:I36" si="7">ROUND(G34*H34,2)</f>
        <v>4727</v>
      </c>
      <c r="J34" s="150">
        <f>IFERROR(IF(ROUND((((I34/G34*30.4)-VLOOKUP((I34/G34*30.4),TARIFA,1))*VLOOKUP((I34/G34*30.4),TARIFA,3)+VLOOKUP((I34/G34*30.4),TARIFA,2)-VLOOKUP((I34/G34*30.4),SUBSIDIO,2))/30.4*G34,2)&lt;0,ROUND(-(((I34/G34*30.4)-VLOOKUP((I34/G34*30.4),TARIFA,1))*VLOOKUP((I34/G34*30.4),TARIFA,3)+VLOOKUP((I34/G34*30.4),TARIFA,2)-VLOOKUP((I34/G34*30.4),SUBSIDIO,2))/30.4*G34,2),0),0)</f>
        <v>0</v>
      </c>
      <c r="K34" s="150">
        <f>IF(H34&lt;=248.93,0,(IFERROR(IF(ROUND((((I34/G34*30.4)-VLOOKUP((I34/G34*30.4),TARIFA,1))*VLOOKUP((I34/G34*30.4),TARIFA,3)+VLOOKUP((I34/G34*30.4),TARIFA,2)-VLOOKUP((I34/G34*30.4),SUBSIDIO,2))/30.4*G34,2)&gt;0,ROUND((((I34/G34*30.4)-VLOOKUP((I34/G34*30.4),TARIFA,1))*VLOOKUP((I34/G34*30.4),TARIFA,3)+VLOOKUP((I34/G34*30.4),TARIFA,2)-VLOOKUP((I34/G34*30.4),SUBSIDIO,2))/30.4*G34,2),0),0)))</f>
        <v>357.83</v>
      </c>
      <c r="L34" s="98">
        <f>K34</f>
        <v>357.83</v>
      </c>
      <c r="M34" s="98">
        <f>I34+J34-L34</f>
        <v>4369.17</v>
      </c>
      <c r="N34" s="113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</row>
    <row r="35" spans="1:97" ht="30" customHeight="1" x14ac:dyDescent="0.2">
      <c r="B35" s="109">
        <v>17</v>
      </c>
      <c r="C35" s="208"/>
      <c r="D35" s="101" t="s">
        <v>174</v>
      </c>
      <c r="E35" s="95" t="s">
        <v>41</v>
      </c>
      <c r="F35" s="364"/>
      <c r="G35" s="64">
        <v>14</v>
      </c>
      <c r="H35" s="98">
        <v>173.333</v>
      </c>
      <c r="I35" s="97">
        <f t="shared" si="7"/>
        <v>2426.66</v>
      </c>
      <c r="J35" s="97">
        <f>IFERROR(IF(ROUND((((I35/G35*30.4)-VLOOKUP((I35/G35*30.4),TARIFA,1))*VLOOKUP((I35/G35*30.4),TARIFA,3)+VLOOKUP((I35/G35*30.4),TARIFA,2)-VLOOKUP((I35/G35*30.4),SUBSIDIO,2))/30.4*G35,2)&lt;0,ROUND(-(((I35/G35*30.4)-VLOOKUP((I35/G35*30.4),TARIFA,1))*VLOOKUP((I35/G35*30.4),TARIFA,3)+VLOOKUP((I35/G35*30.4),TARIFA,2)-VLOOKUP((I35/G35*30.4),SUBSIDIO,2))/30.4*G35,2),0),0)</f>
        <v>9.6999999999999993</v>
      </c>
      <c r="K35" s="146">
        <f>IF(H35&lt;=248.93,0,(IFERROR(IF(ROUND((((I35/G35*30.4)-VLOOKUP((I35/G35*30.4),TARIFA,1))*VLOOKUP((I35/G35*30.4),TARIFA,3)+VLOOKUP((I35/G35*30.4),TARIFA,2)-VLOOKUP((I35/G35*30.4),SUBSIDIO,2))/30.4*G35,2)&gt;0,ROUND((((I35/G35*30.4)-VLOOKUP((I35/G35*30.4),TARIFA,1))*VLOOKUP((I35/G35*30.4),TARIFA,3)+VLOOKUP((I35/G35*30.4),TARIFA,2)-VLOOKUP((I35/G35*30.4),SUBSIDIO,2))/30.4*G35,2),0),0)))</f>
        <v>0</v>
      </c>
      <c r="L35" s="146">
        <f>K35</f>
        <v>0</v>
      </c>
      <c r="M35" s="98">
        <f>I35+J35-L35</f>
        <v>2436.3599999999997</v>
      </c>
      <c r="N35" s="113"/>
    </row>
    <row r="36" spans="1:97" s="80" customFormat="1" ht="30" customHeight="1" x14ac:dyDescent="0.2">
      <c r="A36" s="28"/>
      <c r="B36" s="109">
        <v>18</v>
      </c>
      <c r="C36" s="208" t="s">
        <v>353</v>
      </c>
      <c r="D36" s="101" t="s">
        <v>175</v>
      </c>
      <c r="E36" s="95" t="s">
        <v>108</v>
      </c>
      <c r="F36" s="364"/>
      <c r="G36" s="64">
        <v>15</v>
      </c>
      <c r="H36" s="98">
        <v>274.875</v>
      </c>
      <c r="I36" s="97">
        <f t="shared" si="7"/>
        <v>4123.13</v>
      </c>
      <c r="J36" s="150">
        <f>IFERROR(IF(ROUND((((I36/G36*30.4)-VLOOKUP((I36/G36*30.4),TARIFA,1))*VLOOKUP((I36/G36*30.4),TARIFA,3)+VLOOKUP((I36/G36*30.4),TARIFA,2)-VLOOKUP((I36/G36*30.4),SUBSIDIO,2))/30.4*G36,2)&lt;0,ROUND(-(((I36/G36*30.4)-VLOOKUP((I36/G36*30.4),TARIFA,1))*VLOOKUP((I36/G36*30.4),TARIFA,3)+VLOOKUP((I36/G36*30.4),TARIFA,2)-VLOOKUP((I36/G36*30.4),SUBSIDIO,2))/30.4*G36,2),0),0)</f>
        <v>0</v>
      </c>
      <c r="K36" s="150">
        <f>IF(H36&lt;=248.93,0,(IFERROR(IF(ROUND((((I36/G36*30.4)-VLOOKUP((I36/G36*30.4),TARIFA,1))*VLOOKUP((I36/G36*30.4),TARIFA,3)+VLOOKUP((I36/G36*30.4),TARIFA,2)-VLOOKUP((I36/G36*30.4),SUBSIDIO,2))/30.4*G36,2)&gt;0,ROUND((((I36/G36*30.4)-VLOOKUP((I36/G36*30.4),TARIFA,1))*VLOOKUP((I36/G36*30.4),TARIFA,3)+VLOOKUP((I36/G36*30.4),TARIFA,2)-VLOOKUP((I36/G36*30.4),SUBSIDIO,2))/30.4*G36,2),0),0)))</f>
        <v>292.13</v>
      </c>
      <c r="L36" s="98">
        <f>K36</f>
        <v>292.13</v>
      </c>
      <c r="M36" s="98">
        <f>I36+J36-L36</f>
        <v>3831</v>
      </c>
      <c r="N36" s="113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</row>
    <row r="37" spans="1:97" ht="30" customHeight="1" x14ac:dyDescent="0.2">
      <c r="B37" s="109"/>
      <c r="C37" s="208"/>
      <c r="D37" s="72"/>
      <c r="E37" s="66" t="s">
        <v>33</v>
      </c>
      <c r="F37" s="391"/>
      <c r="G37" s="392"/>
      <c r="H37" s="211"/>
      <c r="I37" s="100">
        <f>SUM(I34:I36)</f>
        <v>11276.79</v>
      </c>
      <c r="J37" s="100">
        <f>SUM(J34:J36)</f>
        <v>9.6999999999999993</v>
      </c>
      <c r="K37" s="100">
        <f>SUM(K34:K36)</f>
        <v>649.96</v>
      </c>
      <c r="L37" s="100">
        <f>SUM(L34:L36)</f>
        <v>649.96</v>
      </c>
      <c r="M37" s="100">
        <f>SUM(M34:M36)</f>
        <v>10636.529999999999</v>
      </c>
      <c r="N37" s="112"/>
    </row>
    <row r="38" spans="1:97" ht="30" customHeight="1" x14ac:dyDescent="0.2">
      <c r="B38" s="397" t="s">
        <v>76</v>
      </c>
      <c r="C38" s="398"/>
      <c r="D38" s="398"/>
      <c r="E38" s="398"/>
      <c r="F38" s="398"/>
      <c r="G38" s="398"/>
      <c r="H38" s="398"/>
      <c r="I38" s="398"/>
      <c r="J38" s="398"/>
      <c r="K38" s="398"/>
      <c r="L38" s="398"/>
      <c r="M38" s="398"/>
      <c r="N38" s="399"/>
    </row>
    <row r="39" spans="1:97" ht="30" customHeight="1" x14ac:dyDescent="0.2">
      <c r="B39" s="109">
        <v>19</v>
      </c>
      <c r="C39" s="208"/>
      <c r="D39" s="101" t="s">
        <v>176</v>
      </c>
      <c r="E39" s="95" t="s">
        <v>476</v>
      </c>
      <c r="F39" s="364"/>
      <c r="G39" s="64">
        <v>15</v>
      </c>
      <c r="H39" s="98">
        <v>315.13299999999998</v>
      </c>
      <c r="I39" s="97">
        <f t="shared" ref="I39" si="8">ROUND(G39*H39,2)</f>
        <v>4727</v>
      </c>
      <c r="J39" s="150">
        <f>IFERROR(IF(ROUND((((I39/G39*30.4)-VLOOKUP((I39/G39*30.4),TARIFA,1))*VLOOKUP((I39/G39*30.4),TARIFA,3)+VLOOKUP((I39/G39*30.4),TARIFA,2)-VLOOKUP((I39/G39*30.4),SUBSIDIO,2))/30.4*G39,2)&lt;0,ROUND(-(((I39/G39*30.4)-VLOOKUP((I39/G39*30.4),TARIFA,1))*VLOOKUP((I39/G39*30.4),TARIFA,3)+VLOOKUP((I39/G39*30.4),TARIFA,2)-VLOOKUP((I39/G39*30.4),SUBSIDIO,2))/30.4*G39,2),0),0)</f>
        <v>0</v>
      </c>
      <c r="K39" s="150">
        <f>IF(H39&lt;=248.93,0,(IFERROR(IF(ROUND((((I39/G39*30.4)-VLOOKUP((I39/G39*30.4),TARIFA,1))*VLOOKUP((I39/G39*30.4),TARIFA,3)+VLOOKUP((I39/G39*30.4),TARIFA,2)-VLOOKUP((I39/G39*30.4),SUBSIDIO,2))/30.4*G39,2)&gt;0,ROUND((((I39/G39*30.4)-VLOOKUP((I39/G39*30.4),TARIFA,1))*VLOOKUP((I39/G39*30.4),TARIFA,3)+VLOOKUP((I39/G39*30.4),TARIFA,2)-VLOOKUP((I39/G39*30.4),SUBSIDIO,2))/30.4*G39,2),0),0)))</f>
        <v>357.83</v>
      </c>
      <c r="L39" s="146">
        <f>K39</f>
        <v>357.83</v>
      </c>
      <c r="M39" s="98">
        <f>I39+J39-L39</f>
        <v>4369.17</v>
      </c>
      <c r="N39" s="113"/>
    </row>
    <row r="40" spans="1:97" ht="30" customHeight="1" x14ac:dyDescent="0.2">
      <c r="B40" s="109"/>
      <c r="C40" s="208"/>
      <c r="D40" s="72"/>
      <c r="E40" s="66" t="s">
        <v>33</v>
      </c>
      <c r="F40" s="391"/>
      <c r="G40" s="392"/>
      <c r="H40" s="211"/>
      <c r="I40" s="100">
        <f>SUM(I39:I39)</f>
        <v>4727</v>
      </c>
      <c r="J40" s="145">
        <f>SUM(J39:J39)</f>
        <v>0</v>
      </c>
      <c r="K40" s="100">
        <f>SUM(K39:K39)</f>
        <v>357.83</v>
      </c>
      <c r="L40" s="100">
        <f>SUM(L39:L39)</f>
        <v>357.83</v>
      </c>
      <c r="M40" s="100">
        <f>SUM(M39:M39)</f>
        <v>4369.17</v>
      </c>
      <c r="N40" s="112"/>
    </row>
    <row r="41" spans="1:97" ht="30" customHeight="1" x14ac:dyDescent="0.2">
      <c r="B41" s="403" t="s">
        <v>43</v>
      </c>
      <c r="C41" s="404"/>
      <c r="D41" s="405"/>
      <c r="E41" s="405"/>
      <c r="F41" s="405"/>
      <c r="G41" s="405"/>
      <c r="H41" s="405"/>
      <c r="I41" s="405"/>
      <c r="J41" s="405"/>
      <c r="K41" s="405"/>
      <c r="L41" s="405"/>
      <c r="M41" s="405"/>
      <c r="N41" s="406"/>
    </row>
    <row r="42" spans="1:97" s="5" customFormat="1" ht="30" customHeight="1" x14ac:dyDescent="0.2">
      <c r="B42" s="109">
        <v>20</v>
      </c>
      <c r="C42" s="208"/>
      <c r="D42" s="101" t="s">
        <v>177</v>
      </c>
      <c r="E42" s="95" t="s">
        <v>35</v>
      </c>
      <c r="F42" s="361"/>
      <c r="G42" s="64">
        <v>15</v>
      </c>
      <c r="H42" s="98">
        <v>315.13299999999998</v>
      </c>
      <c r="I42" s="97">
        <f t="shared" ref="I42:I43" si="9">ROUND(G42*H42,2)</f>
        <v>4727</v>
      </c>
      <c r="J42" s="152">
        <f>IFERROR(IF(ROUND((((I42/G42*30.4)-VLOOKUP((I42/G42*30.4),TARIFA,1))*VLOOKUP((I42/G42*30.4),TARIFA,3)+VLOOKUP((I42/G42*30.4),TARIFA,2)-VLOOKUP((I42/G42*30.4),SUBSIDIO,2))/30.4*G42,2)&lt;0,ROUND(-(((I42/G42*30.4)-VLOOKUP((I42/G42*30.4),TARIFA,1))*VLOOKUP((I42/G42*30.4),TARIFA,3)+VLOOKUP((I42/G42*30.4),TARIFA,2)-VLOOKUP((I42/G42*30.4),SUBSIDIO,2))/30.4*G42,2),0),0)</f>
        <v>0</v>
      </c>
      <c r="K42" s="150">
        <f>IF(H42&lt;=248.93,0,(IFERROR(IF(ROUND((((I42/G42*30.4)-VLOOKUP((I42/G42*30.4),TARIFA,1))*VLOOKUP((I42/G42*30.4),TARIFA,3)+VLOOKUP((I42/G42*30.4),TARIFA,2)-VLOOKUP((I42/G42*30.4),SUBSIDIO,2))/30.4*G42,2)&gt;0,ROUND((((I42/G42*30.4)-VLOOKUP((I42/G42*30.4),TARIFA,1))*VLOOKUP((I42/G42*30.4),TARIFA,3)+VLOOKUP((I42/G42*30.4),TARIFA,2)-VLOOKUP((I42/G42*30.4),SUBSIDIO,2))/30.4*G42,2),0),0)))</f>
        <v>357.83</v>
      </c>
      <c r="L42" s="98">
        <f>K42</f>
        <v>357.83</v>
      </c>
      <c r="M42" s="98">
        <f>I42+J42-L42</f>
        <v>4369.17</v>
      </c>
      <c r="N42" s="113"/>
    </row>
    <row r="43" spans="1:97" s="80" customFormat="1" ht="30" customHeight="1" x14ac:dyDescent="0.2">
      <c r="A43" s="28"/>
      <c r="B43" s="109">
        <v>21</v>
      </c>
      <c r="C43" s="208" t="s">
        <v>353</v>
      </c>
      <c r="D43" s="101" t="s">
        <v>178</v>
      </c>
      <c r="E43" s="95" t="s">
        <v>42</v>
      </c>
      <c r="F43" s="64"/>
      <c r="G43" s="64">
        <v>15</v>
      </c>
      <c r="H43" s="98">
        <v>231.66650000000001</v>
      </c>
      <c r="I43" s="97">
        <f t="shared" si="9"/>
        <v>3475</v>
      </c>
      <c r="J43" s="144">
        <f>IFERROR(IF(ROUND((((I43/G43*30.4)-VLOOKUP((I43/G43*30.4),TARIFA,1))*VLOOKUP((I43/G43*30.4),TARIFA,3)+VLOOKUP((I43/G43*30.4),TARIFA,2)-VLOOKUP((I43/G43*30.4),SUBSIDIO,2))/30.4*G43,2)&lt;0,ROUND(-(((I43/G43*30.4)-VLOOKUP((I43/G43*30.4),TARIFA,1))*VLOOKUP((I43/G43*30.4),TARIFA,3)+VLOOKUP((I43/G43*30.4),TARIFA,2)-VLOOKUP((I43/G43*30.4),SUBSIDIO,2))/30.4*G43,2),0),0)</f>
        <v>0</v>
      </c>
      <c r="K43" s="146">
        <f>IF(H43&lt;=248.93,0,(IFERROR(IF(ROUND((((I43/G43*30.4)-VLOOKUP((I43/G43*30.4),TARIFA,1))*VLOOKUP((I43/G43*30.4),TARIFA,3)+VLOOKUP((I43/G43*30.4),TARIFA,2)-VLOOKUP((I43/G43*30.4),SUBSIDIO,2))/30.4*G43,2)&gt;0,ROUND((((I43/G43*30.4)-VLOOKUP((I43/G43*30.4),TARIFA,1))*VLOOKUP((I43/G43*30.4),TARIFA,3)+VLOOKUP((I43/G43*30.4),TARIFA,2)-VLOOKUP((I43/G43*30.4),SUBSIDIO,2))/30.4*G43,2),0),0)))</f>
        <v>0</v>
      </c>
      <c r="L43" s="146">
        <f>K43</f>
        <v>0</v>
      </c>
      <c r="M43" s="98">
        <f>I43+J43-L43</f>
        <v>3475</v>
      </c>
      <c r="N43" s="113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</row>
    <row r="44" spans="1:97" ht="30" customHeight="1" x14ac:dyDescent="0.2">
      <c r="B44" s="109"/>
      <c r="C44" s="208"/>
      <c r="D44" s="72"/>
      <c r="E44" s="66" t="s">
        <v>33</v>
      </c>
      <c r="F44" s="391"/>
      <c r="G44" s="392"/>
      <c r="H44" s="211"/>
      <c r="I44" s="100">
        <f>SUM(I42:I43)</f>
        <v>8202</v>
      </c>
      <c r="J44" s="145">
        <f>SUM(J42:J43)</f>
        <v>0</v>
      </c>
      <c r="K44" s="100">
        <f>SUM(K42:K43)</f>
        <v>357.83</v>
      </c>
      <c r="L44" s="100">
        <f>SUM(L42:L43)</f>
        <v>357.83</v>
      </c>
      <c r="M44" s="100">
        <f>SUM(M42:M43)</f>
        <v>7844.17</v>
      </c>
      <c r="N44" s="112"/>
    </row>
    <row r="45" spans="1:97" ht="30" customHeight="1" x14ac:dyDescent="0.2">
      <c r="B45" s="397" t="s">
        <v>44</v>
      </c>
      <c r="C45" s="398"/>
      <c r="D45" s="398"/>
      <c r="E45" s="398"/>
      <c r="F45" s="398"/>
      <c r="G45" s="398"/>
      <c r="H45" s="398"/>
      <c r="I45" s="398"/>
      <c r="J45" s="398"/>
      <c r="K45" s="398"/>
      <c r="L45" s="398"/>
      <c r="M45" s="398"/>
      <c r="N45" s="399"/>
    </row>
    <row r="46" spans="1:97" s="80" customFormat="1" ht="30" customHeight="1" x14ac:dyDescent="0.2">
      <c r="A46" s="28"/>
      <c r="B46" s="109">
        <v>22</v>
      </c>
      <c r="C46" s="208" t="s">
        <v>353</v>
      </c>
      <c r="D46" s="101" t="s">
        <v>179</v>
      </c>
      <c r="E46" s="95" t="s">
        <v>35</v>
      </c>
      <c r="F46" s="361"/>
      <c r="G46" s="64">
        <v>15</v>
      </c>
      <c r="H46" s="98">
        <v>315.13299999999998</v>
      </c>
      <c r="I46" s="97">
        <f t="shared" ref="I46:I47" si="10">ROUND(G46*H46,2)</f>
        <v>4727</v>
      </c>
      <c r="J46" s="150">
        <f>IFERROR(IF(ROUND((((I46/G46*30.4)-VLOOKUP((I46/G46*30.4),TARIFA,1))*VLOOKUP((I46/G46*30.4),TARIFA,3)+VLOOKUP((I46/G46*30.4),TARIFA,2)-VLOOKUP((I46/G46*30.4),SUBSIDIO,2))/30.4*G46,2)&lt;0,ROUND(-(((I46/G46*30.4)-VLOOKUP((I46/G46*30.4),TARIFA,1))*VLOOKUP((I46/G46*30.4),TARIFA,3)+VLOOKUP((I46/G46*30.4),TARIFA,2)-VLOOKUP((I46/G46*30.4),SUBSIDIO,2))/30.4*G46,2),0),0)</f>
        <v>0</v>
      </c>
      <c r="K46" s="150">
        <f>IF(H46&lt;=248.93,0,(IFERROR(IF(ROUND((((I46/G46*30.4)-VLOOKUP((I46/G46*30.4),TARIFA,1))*VLOOKUP((I46/G46*30.4),TARIFA,3)+VLOOKUP((I46/G46*30.4),TARIFA,2)-VLOOKUP((I46/G46*30.4),SUBSIDIO,2))/30.4*G46,2)&gt;0,ROUND((((I46/G46*30.4)-VLOOKUP((I46/G46*30.4),TARIFA,1))*VLOOKUP((I46/G46*30.4),TARIFA,3)+VLOOKUP((I46/G46*30.4),TARIFA,2)-VLOOKUP((I46/G46*30.4),SUBSIDIO,2))/30.4*G46,2),0),0)))</f>
        <v>357.83</v>
      </c>
      <c r="L46" s="98">
        <f>K46</f>
        <v>357.83</v>
      </c>
      <c r="M46" s="98">
        <f>I46+J46-L46</f>
        <v>4369.17</v>
      </c>
      <c r="N46" s="113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</row>
    <row r="47" spans="1:97" ht="30" customHeight="1" x14ac:dyDescent="0.2">
      <c r="B47" s="109">
        <v>23</v>
      </c>
      <c r="C47" s="208"/>
      <c r="D47" s="101" t="s">
        <v>180</v>
      </c>
      <c r="E47" s="95" t="s">
        <v>113</v>
      </c>
      <c r="F47" s="361"/>
      <c r="G47" s="64">
        <v>15</v>
      </c>
      <c r="H47" s="98">
        <v>135.6</v>
      </c>
      <c r="I47" s="97">
        <f t="shared" si="10"/>
        <v>2034</v>
      </c>
      <c r="J47" s="150">
        <f>IFERROR(IF(ROUND((((I47/G47*30.4)-VLOOKUP((I47/G47*30.4),TARIFA,1))*VLOOKUP((I47/G47*30.4),TARIFA,3)+VLOOKUP((I47/G47*30.4),TARIFA,2)-VLOOKUP((I47/G47*30.4),SUBSIDIO,2))/30.4*G47,2)&lt;0,ROUND(-(((I47/G47*30.4)-VLOOKUP((I47/G47*30.4),TARIFA,1))*VLOOKUP((I47/G47*30.4),TARIFA,3)+VLOOKUP((I47/G47*30.4),TARIFA,2)-VLOOKUP((I47/G47*30.4),SUBSIDIO,2))/30.4*G47,2),0),0)</f>
        <v>75.03</v>
      </c>
      <c r="K47" s="150">
        <f>IF(H47&lt;=248.93,0,(IFERROR(IF(ROUND((((I47/G47*30.4)-VLOOKUP((I47/G47*30.4),TARIFA,1))*VLOOKUP((I47/G47*30.4),TARIFA,3)+VLOOKUP((I47/G47*30.4),TARIFA,2)-VLOOKUP((I47/G47*30.4),SUBSIDIO,2))/30.4*G47,2)&gt;0,ROUND((((I47/G47*30.4)-VLOOKUP((I47/G47*30.4),TARIFA,1))*VLOOKUP((I47/G47*30.4),TARIFA,3)+VLOOKUP((I47/G47*30.4),TARIFA,2)-VLOOKUP((I47/G47*30.4),SUBSIDIO,2))/30.4*G47,2),0),0)))</f>
        <v>0</v>
      </c>
      <c r="L47" s="146">
        <v>0</v>
      </c>
      <c r="M47" s="98">
        <f>I47+J47-L47</f>
        <v>2109.0300000000002</v>
      </c>
      <c r="N47" s="113"/>
    </row>
    <row r="48" spans="1:97" ht="30" customHeight="1" x14ac:dyDescent="0.2">
      <c r="B48" s="109"/>
      <c r="C48" s="208"/>
      <c r="D48" s="72"/>
      <c r="E48" s="66" t="s">
        <v>33</v>
      </c>
      <c r="F48" s="391"/>
      <c r="G48" s="392"/>
      <c r="H48" s="211"/>
      <c r="I48" s="100">
        <f>SUM(I46:I47)</f>
        <v>6761</v>
      </c>
      <c r="J48" s="100">
        <f>SUM(J46:J47)</f>
        <v>75.03</v>
      </c>
      <c r="K48" s="100">
        <f>SUM(K46:K47)</f>
        <v>357.83</v>
      </c>
      <c r="L48" s="100">
        <f>SUM(L46:L47)</f>
        <v>357.83</v>
      </c>
      <c r="M48" s="100">
        <f>SUM(M46:M47)</f>
        <v>6478.2000000000007</v>
      </c>
      <c r="N48" s="112"/>
    </row>
    <row r="49" spans="1:97" s="5" customFormat="1" ht="30" customHeight="1" x14ac:dyDescent="0.2">
      <c r="B49" s="397" t="s">
        <v>79</v>
      </c>
      <c r="C49" s="398"/>
      <c r="D49" s="398"/>
      <c r="E49" s="398"/>
      <c r="F49" s="398"/>
      <c r="G49" s="398"/>
      <c r="H49" s="398"/>
      <c r="I49" s="398"/>
      <c r="J49" s="398"/>
      <c r="K49" s="398"/>
      <c r="L49" s="398"/>
      <c r="M49" s="398"/>
      <c r="N49" s="399"/>
    </row>
    <row r="50" spans="1:97" s="5" customFormat="1" ht="30" customHeight="1" x14ac:dyDescent="0.2">
      <c r="B50" s="109">
        <v>24</v>
      </c>
      <c r="C50" s="208"/>
      <c r="D50" s="101" t="s">
        <v>181</v>
      </c>
      <c r="E50" s="95" t="s">
        <v>35</v>
      </c>
      <c r="F50" s="361"/>
      <c r="G50" s="64">
        <v>15</v>
      </c>
      <c r="H50" s="98">
        <v>315.13299999999998</v>
      </c>
      <c r="I50" s="97">
        <f t="shared" ref="I50" si="11">ROUND(G50*H50,2)</f>
        <v>4727</v>
      </c>
      <c r="J50" s="150">
        <f>IFERROR(IF(ROUND((((I50/G50*30.4)-VLOOKUP((I50/G50*30.4),TARIFA,1))*VLOOKUP((I50/G50*30.4),TARIFA,3)+VLOOKUP((I50/G50*30.4),TARIFA,2)-VLOOKUP((I50/G50*30.4),SUBSIDIO,2))/30.4*G50,2)&lt;0,ROUND(-(((I50/G50*30.4)-VLOOKUP((I50/G50*30.4),TARIFA,1))*VLOOKUP((I50/G50*30.4),TARIFA,3)+VLOOKUP((I50/G50*30.4),TARIFA,2)-VLOOKUP((I50/G50*30.4),SUBSIDIO,2))/30.4*G50,2),0),0)</f>
        <v>0</v>
      </c>
      <c r="K50" s="150">
        <f>IF(H50&lt;=248.93,0,(IFERROR(IF(ROUND((((I50/G50*30.4)-VLOOKUP((I50/G50*30.4),TARIFA,1))*VLOOKUP((I50/G50*30.4),TARIFA,3)+VLOOKUP((I50/G50*30.4),TARIFA,2)-VLOOKUP((I50/G50*30.4),SUBSIDIO,2))/30.4*G50,2)&gt;0,ROUND((((I50/G50*30.4)-VLOOKUP((I50/G50*30.4),TARIFA,1))*VLOOKUP((I50/G50*30.4),TARIFA,3)+VLOOKUP((I50/G50*30.4),TARIFA,2)-VLOOKUP((I50/G50*30.4),SUBSIDIO,2))/30.4*G50,2),0),0)))</f>
        <v>357.83</v>
      </c>
      <c r="L50" s="98">
        <f>K50</f>
        <v>357.83</v>
      </c>
      <c r="M50" s="98">
        <f>I50+J50-L50</f>
        <v>4369.17</v>
      </c>
      <c r="N50" s="113"/>
    </row>
    <row r="51" spans="1:97" s="5" customFormat="1" ht="30" customHeight="1" x14ac:dyDescent="0.2">
      <c r="B51" s="109"/>
      <c r="C51" s="208"/>
      <c r="D51" s="72"/>
      <c r="E51" s="66" t="s">
        <v>33</v>
      </c>
      <c r="F51" s="391"/>
      <c r="G51" s="392"/>
      <c r="H51" s="211"/>
      <c r="I51" s="100">
        <f>SUM(I50:I50)</f>
        <v>4727</v>
      </c>
      <c r="J51" s="145">
        <f>SUM(J50:J50)</f>
        <v>0</v>
      </c>
      <c r="K51" s="100">
        <f>SUM(K50:K50)</f>
        <v>357.83</v>
      </c>
      <c r="L51" s="100">
        <f>SUM(L50:L50)</f>
        <v>357.83</v>
      </c>
      <c r="M51" s="100">
        <f>SUM(M50:M50)</f>
        <v>4369.17</v>
      </c>
      <c r="N51" s="112"/>
    </row>
    <row r="52" spans="1:97" s="5" customFormat="1" ht="30" customHeight="1" x14ac:dyDescent="0.2">
      <c r="B52" s="403" t="s">
        <v>45</v>
      </c>
      <c r="C52" s="404"/>
      <c r="D52" s="405"/>
      <c r="E52" s="405"/>
      <c r="F52" s="405"/>
      <c r="G52" s="405"/>
      <c r="H52" s="405"/>
      <c r="I52" s="405"/>
      <c r="J52" s="405"/>
      <c r="K52" s="405"/>
      <c r="L52" s="405"/>
      <c r="M52" s="405"/>
      <c r="N52" s="406"/>
    </row>
    <row r="53" spans="1:97" s="79" customFormat="1" ht="30" customHeight="1" x14ac:dyDescent="0.2">
      <c r="A53" s="5"/>
      <c r="B53" s="109">
        <v>25</v>
      </c>
      <c r="C53" s="208" t="s">
        <v>353</v>
      </c>
      <c r="D53" s="101" t="s">
        <v>182</v>
      </c>
      <c r="E53" s="95" t="s">
        <v>82</v>
      </c>
      <c r="F53" s="361"/>
      <c r="G53" s="64">
        <v>15</v>
      </c>
      <c r="H53" s="98">
        <v>167.26650000000001</v>
      </c>
      <c r="I53" s="97">
        <f t="shared" ref="I53" si="12">ROUND(G53*H53,2)</f>
        <v>2509</v>
      </c>
      <c r="J53" s="97">
        <f>IFERROR(IF(ROUND((((I53/G53*30.4)-VLOOKUP((I53/G53*30.4),TARIFA,1))*VLOOKUP((I53/G53*30.4),TARIFA,3)+VLOOKUP((I53/G53*30.4),TARIFA,2)-VLOOKUP((I53/G53*30.4),SUBSIDIO,2))/30.4*G53,2)&lt;0,ROUND(-(((I53/G53*30.4)-VLOOKUP((I53/G53*30.4),TARIFA,1))*VLOOKUP((I53/G53*30.4),TARIFA,3)+VLOOKUP((I53/G53*30.4),TARIFA,2)-VLOOKUP((I53/G53*30.4),SUBSIDIO,2))/30.4*G53,2),0),0)</f>
        <v>16.22</v>
      </c>
      <c r="K53" s="146">
        <f>IF(H53&lt;=248.93,0,(IFERROR(IF(ROUND((((I53/G53*30.4)-VLOOKUP((I53/G53*30.4),TARIFA,1))*VLOOKUP((I53/G53*30.4),TARIFA,3)+VLOOKUP((I53/G53*30.4),TARIFA,2)-VLOOKUP((I53/G53*30.4),SUBSIDIO,2))/30.4*G53,2)&gt;0,ROUND((((I53/G53*30.4)-VLOOKUP((I53/G53*30.4),TARIFA,1))*VLOOKUP((I53/G53*30.4),TARIFA,3)+VLOOKUP((I53/G53*30.4),TARIFA,2)-VLOOKUP((I53/G53*30.4),SUBSIDIO,2))/30.4*G53,2),0),0)))</f>
        <v>0</v>
      </c>
      <c r="L53" s="146">
        <f>K53</f>
        <v>0</v>
      </c>
      <c r="M53" s="98">
        <f>I53+J53-L53</f>
        <v>2525.2199999999998</v>
      </c>
      <c r="N53" s="113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</row>
    <row r="54" spans="1:97" s="5" customFormat="1" ht="30" customHeight="1" x14ac:dyDescent="0.2">
      <c r="B54" s="109"/>
      <c r="C54" s="208"/>
      <c r="D54" s="72"/>
      <c r="E54" s="66" t="s">
        <v>33</v>
      </c>
      <c r="F54" s="66"/>
      <c r="G54" s="64"/>
      <c r="H54" s="211"/>
      <c r="I54" s="100">
        <f>SUM(I53:I53)</f>
        <v>2509</v>
      </c>
      <c r="J54" s="100">
        <f>SUM(J53:J53)</f>
        <v>16.22</v>
      </c>
      <c r="K54" s="145">
        <f>SUM(K53:K53)</f>
        <v>0</v>
      </c>
      <c r="L54" s="145">
        <f>SUM(L53:L53)</f>
        <v>0</v>
      </c>
      <c r="M54" s="100">
        <f>SUM(M53:M53)</f>
        <v>2525.2199999999998</v>
      </c>
      <c r="N54" s="112"/>
    </row>
    <row r="55" spans="1:97" ht="30" customHeight="1" x14ac:dyDescent="0.2">
      <c r="B55" s="397" t="s">
        <v>46</v>
      </c>
      <c r="C55" s="398"/>
      <c r="D55" s="398"/>
      <c r="E55" s="398"/>
      <c r="F55" s="398"/>
      <c r="G55" s="398"/>
      <c r="H55" s="398"/>
      <c r="I55" s="398"/>
      <c r="J55" s="398"/>
      <c r="K55" s="398"/>
      <c r="L55" s="398"/>
      <c r="M55" s="398"/>
      <c r="N55" s="399"/>
    </row>
    <row r="56" spans="1:97" s="5" customFormat="1" ht="30" customHeight="1" x14ac:dyDescent="0.2">
      <c r="B56" s="109">
        <v>26</v>
      </c>
      <c r="C56" s="208"/>
      <c r="D56" s="99" t="s">
        <v>251</v>
      </c>
      <c r="E56" s="95" t="s">
        <v>112</v>
      </c>
      <c r="F56" s="361"/>
      <c r="G56" s="64">
        <v>15</v>
      </c>
      <c r="H56" s="98">
        <v>466.33300000000003</v>
      </c>
      <c r="I56" s="97">
        <f t="shared" ref="I56:I61" si="13">ROUND(G56*H56,2)</f>
        <v>6995</v>
      </c>
      <c r="J56" s="150">
        <f t="shared" ref="J56:J61" si="14">IFERROR(IF(ROUND((((I56/G56*30.4)-VLOOKUP((I56/G56*30.4),TARIFA,1))*VLOOKUP((I56/G56*30.4),TARIFA,3)+VLOOKUP((I56/G56*30.4),TARIFA,2)-VLOOKUP((I56/G56*30.4),SUBSIDIO,2))/30.4*G56,2)&lt;0,ROUND(-(((I56/G56*30.4)-VLOOKUP((I56/G56*30.4),TARIFA,1))*VLOOKUP((I56/G56*30.4),TARIFA,3)+VLOOKUP((I56/G56*30.4),TARIFA,2)-VLOOKUP((I56/G56*30.4),SUBSIDIO,2))/30.4*G56,2),0),0)</f>
        <v>0</v>
      </c>
      <c r="K56" s="150">
        <f t="shared" ref="K56:K61" si="15">IF(H56&lt;=248.93,0,(IFERROR(IF(ROUND((((I56/G56*30.4)-VLOOKUP((I56/G56*30.4),TARIFA,1))*VLOOKUP((I56/G56*30.4),TARIFA,3)+VLOOKUP((I56/G56*30.4),TARIFA,2)-VLOOKUP((I56/G56*30.4),SUBSIDIO,2))/30.4*G56,2)&gt;0,ROUND((((I56/G56*30.4)-VLOOKUP((I56/G56*30.4),TARIFA,1))*VLOOKUP((I56/G56*30.4),TARIFA,3)+VLOOKUP((I56/G56*30.4),TARIFA,2)-VLOOKUP((I56/G56*30.4),SUBSIDIO,2))/30.4*G56,2),0),0)))</f>
        <v>693.36</v>
      </c>
      <c r="L56" s="98">
        <f t="shared" ref="L56:L61" si="16">K56</f>
        <v>693.36</v>
      </c>
      <c r="M56" s="98">
        <f t="shared" ref="M56:M61" si="17">I56+J56-L56</f>
        <v>6301.64</v>
      </c>
      <c r="N56" s="113"/>
    </row>
    <row r="57" spans="1:97" ht="30" customHeight="1" x14ac:dyDescent="0.2">
      <c r="B57" s="109">
        <v>27</v>
      </c>
      <c r="C57" s="208"/>
      <c r="D57" s="101" t="s">
        <v>252</v>
      </c>
      <c r="E57" s="95" t="s">
        <v>42</v>
      </c>
      <c r="F57" s="361"/>
      <c r="G57" s="64">
        <v>15</v>
      </c>
      <c r="H57" s="98">
        <v>262</v>
      </c>
      <c r="I57" s="97">
        <f t="shared" si="13"/>
        <v>3930</v>
      </c>
      <c r="J57" s="150">
        <f t="shared" si="14"/>
        <v>0</v>
      </c>
      <c r="K57" s="150">
        <f t="shared" si="15"/>
        <v>271.12</v>
      </c>
      <c r="L57" s="98">
        <f t="shared" si="16"/>
        <v>271.12</v>
      </c>
      <c r="M57" s="98">
        <f t="shared" si="17"/>
        <v>3658.88</v>
      </c>
      <c r="N57" s="113"/>
    </row>
    <row r="58" spans="1:97" ht="30" customHeight="1" x14ac:dyDescent="0.2">
      <c r="B58" s="109">
        <v>28</v>
      </c>
      <c r="C58" s="208"/>
      <c r="D58" s="101" t="s">
        <v>253</v>
      </c>
      <c r="E58" s="95" t="s">
        <v>47</v>
      </c>
      <c r="F58" s="361"/>
      <c r="G58" s="64">
        <v>15</v>
      </c>
      <c r="H58" s="98">
        <v>210.53299999999999</v>
      </c>
      <c r="I58" s="97">
        <f t="shared" si="13"/>
        <v>3158</v>
      </c>
      <c r="J58" s="150">
        <f t="shared" si="14"/>
        <v>0</v>
      </c>
      <c r="K58" s="150">
        <f t="shared" si="15"/>
        <v>0</v>
      </c>
      <c r="L58" s="146">
        <f t="shared" si="16"/>
        <v>0</v>
      </c>
      <c r="M58" s="98">
        <f t="shared" si="17"/>
        <v>3158</v>
      </c>
      <c r="N58" s="113"/>
    </row>
    <row r="59" spans="1:97" ht="30" customHeight="1" x14ac:dyDescent="0.2">
      <c r="B59" s="109">
        <v>29</v>
      </c>
      <c r="C59" s="208" t="s">
        <v>353</v>
      </c>
      <c r="D59" s="101" t="s">
        <v>254</v>
      </c>
      <c r="E59" s="95" t="s">
        <v>48</v>
      </c>
      <c r="F59" s="361"/>
      <c r="G59" s="64">
        <v>15</v>
      </c>
      <c r="H59" s="98">
        <v>264.33300000000003</v>
      </c>
      <c r="I59" s="97">
        <f t="shared" si="13"/>
        <v>3965</v>
      </c>
      <c r="J59" s="150">
        <f t="shared" si="14"/>
        <v>0</v>
      </c>
      <c r="K59" s="150">
        <f t="shared" si="15"/>
        <v>274.93</v>
      </c>
      <c r="L59" s="98">
        <f t="shared" si="16"/>
        <v>274.93</v>
      </c>
      <c r="M59" s="98">
        <f t="shared" si="17"/>
        <v>3690.07</v>
      </c>
      <c r="N59" s="113"/>
    </row>
    <row r="60" spans="1:97" ht="30" customHeight="1" x14ac:dyDescent="0.2">
      <c r="B60" s="109">
        <v>30</v>
      </c>
      <c r="C60" s="208" t="s">
        <v>353</v>
      </c>
      <c r="D60" s="101" t="s">
        <v>255</v>
      </c>
      <c r="E60" s="95" t="s">
        <v>48</v>
      </c>
      <c r="F60" s="361"/>
      <c r="G60" s="64">
        <v>15</v>
      </c>
      <c r="H60" s="98">
        <v>228.66650000000001</v>
      </c>
      <c r="I60" s="97">
        <f t="shared" si="13"/>
        <v>3430</v>
      </c>
      <c r="J60" s="150">
        <f t="shared" si="14"/>
        <v>0</v>
      </c>
      <c r="K60" s="150">
        <f t="shared" si="15"/>
        <v>0</v>
      </c>
      <c r="L60" s="146">
        <f t="shared" si="16"/>
        <v>0</v>
      </c>
      <c r="M60" s="98">
        <f t="shared" si="17"/>
        <v>3430</v>
      </c>
      <c r="N60" s="113"/>
    </row>
    <row r="61" spans="1:97" ht="30" customHeight="1" x14ac:dyDescent="0.2">
      <c r="B61" s="109">
        <v>31</v>
      </c>
      <c r="C61" s="208"/>
      <c r="D61" s="101" t="s">
        <v>256</v>
      </c>
      <c r="E61" s="95" t="s">
        <v>49</v>
      </c>
      <c r="F61" s="361"/>
      <c r="G61" s="64">
        <v>15</v>
      </c>
      <c r="H61" s="98">
        <v>384.8</v>
      </c>
      <c r="I61" s="97">
        <f t="shared" si="13"/>
        <v>5772</v>
      </c>
      <c r="J61" s="150">
        <f t="shared" si="14"/>
        <v>0</v>
      </c>
      <c r="K61" s="150">
        <f t="shared" si="15"/>
        <v>485.93</v>
      </c>
      <c r="L61" s="98">
        <f t="shared" si="16"/>
        <v>485.93</v>
      </c>
      <c r="M61" s="98">
        <f t="shared" si="17"/>
        <v>5286.07</v>
      </c>
      <c r="N61" s="113"/>
    </row>
    <row r="62" spans="1:97" ht="30" customHeight="1" x14ac:dyDescent="0.2">
      <c r="B62" s="109"/>
      <c r="C62" s="208"/>
      <c r="D62" s="72"/>
      <c r="E62" s="66" t="s">
        <v>33</v>
      </c>
      <c r="F62" s="391"/>
      <c r="G62" s="392"/>
      <c r="H62" s="211"/>
      <c r="I62" s="100">
        <f>SUM(I56:I61)</f>
        <v>27250</v>
      </c>
      <c r="J62" s="145">
        <f>SUM(J56:J61)</f>
        <v>0</v>
      </c>
      <c r="K62" s="100">
        <f>SUM(K56:K61)</f>
        <v>1725.3400000000001</v>
      </c>
      <c r="L62" s="100">
        <f>SUM(L56:L61)</f>
        <v>1725.3400000000001</v>
      </c>
      <c r="M62" s="100">
        <f>SUM(M56:M61)</f>
        <v>25524.66</v>
      </c>
      <c r="N62" s="112"/>
    </row>
    <row r="63" spans="1:97" s="5" customFormat="1" ht="30" customHeight="1" x14ac:dyDescent="0.2">
      <c r="B63" s="403" t="s">
        <v>306</v>
      </c>
      <c r="C63" s="404"/>
      <c r="D63" s="405"/>
      <c r="E63" s="405"/>
      <c r="F63" s="405"/>
      <c r="G63" s="405"/>
      <c r="H63" s="405"/>
      <c r="I63" s="405"/>
      <c r="J63" s="405"/>
      <c r="K63" s="405"/>
      <c r="L63" s="405"/>
      <c r="M63" s="405"/>
      <c r="N63" s="406"/>
    </row>
    <row r="64" spans="1:97" s="5" customFormat="1" ht="30" customHeight="1" x14ac:dyDescent="0.2">
      <c r="B64" s="109">
        <v>32</v>
      </c>
      <c r="C64" s="208"/>
      <c r="D64" s="101" t="s">
        <v>250</v>
      </c>
      <c r="E64" s="95" t="s">
        <v>35</v>
      </c>
      <c r="F64" s="64"/>
      <c r="G64" s="64">
        <v>15</v>
      </c>
      <c r="H64" s="98">
        <v>315.13299999999998</v>
      </c>
      <c r="I64" s="97">
        <f>ROUND(G64*H64,2)</f>
        <v>4727</v>
      </c>
      <c r="J64" s="150">
        <f>IFERROR(IF(ROUND((((I64/G64*30.4)-VLOOKUP((I64/G64*30.4),TARIFA,1))*VLOOKUP((I64/G64*30.4),TARIFA,3)+VLOOKUP((I64/G64*30.4),TARIFA,2)-VLOOKUP((I64/G64*30.4),SUBSIDIO,2))/30.4*G64,2)&lt;0,ROUND(-(((I64/G64*30.4)-VLOOKUP((I64/G64*30.4),TARIFA,1))*VLOOKUP((I64/G64*30.4),TARIFA,3)+VLOOKUP((I64/G64*30.4),TARIFA,2)-VLOOKUP((I64/G64*30.4),SUBSIDIO,2))/30.4*G64,2),0),0)</f>
        <v>0</v>
      </c>
      <c r="K64" s="150">
        <f>IF(H64&lt;=248.93,0,(IFERROR(IF(ROUND((((I64/G64*30.4)-VLOOKUP((I64/G64*30.4),TARIFA,1))*VLOOKUP((I64/G64*30.4),TARIFA,3)+VLOOKUP((I64/G64*30.4),TARIFA,2)-VLOOKUP((I64/G64*30.4),SUBSIDIO,2))/30.4*G64,2)&gt;0,ROUND((((I64/G64*30.4)-VLOOKUP((I64/G64*30.4),TARIFA,1))*VLOOKUP((I64/G64*30.4),TARIFA,3)+VLOOKUP((I64/G64*30.4),TARIFA,2)-VLOOKUP((I64/G64*30.4),SUBSIDIO,2))/30.4*G64,2),0),0)))</f>
        <v>357.83</v>
      </c>
      <c r="L64" s="98">
        <f>K64</f>
        <v>357.83</v>
      </c>
      <c r="M64" s="98">
        <f>I64+J64-L64</f>
        <v>4369.17</v>
      </c>
      <c r="N64" s="113"/>
    </row>
    <row r="65" spans="1:97" s="5" customFormat="1" ht="30" customHeight="1" x14ac:dyDescent="0.2">
      <c r="B65" s="109"/>
      <c r="C65" s="208"/>
      <c r="D65" s="72"/>
      <c r="E65" s="66" t="s">
        <v>33</v>
      </c>
      <c r="F65" s="391"/>
      <c r="G65" s="392"/>
      <c r="H65" s="211"/>
      <c r="I65" s="100">
        <f>+I64</f>
        <v>4727</v>
      </c>
      <c r="J65" s="145">
        <f>+J64</f>
        <v>0</v>
      </c>
      <c r="K65" s="100">
        <f>+K64</f>
        <v>357.83</v>
      </c>
      <c r="L65" s="100">
        <f>+L64</f>
        <v>357.83</v>
      </c>
      <c r="M65" s="100">
        <f>+M64</f>
        <v>4369.17</v>
      </c>
      <c r="N65" s="112"/>
    </row>
    <row r="66" spans="1:97" ht="30" customHeight="1" x14ac:dyDescent="0.2">
      <c r="B66" s="397" t="s">
        <v>52</v>
      </c>
      <c r="C66" s="398"/>
      <c r="D66" s="398"/>
      <c r="E66" s="398"/>
      <c r="F66" s="398"/>
      <c r="G66" s="398"/>
      <c r="H66" s="398"/>
      <c r="I66" s="398"/>
      <c r="J66" s="398"/>
      <c r="K66" s="398"/>
      <c r="L66" s="398"/>
      <c r="M66" s="398"/>
      <c r="N66" s="399"/>
    </row>
    <row r="67" spans="1:97" ht="30" customHeight="1" x14ac:dyDescent="0.2">
      <c r="B67" s="109">
        <v>33</v>
      </c>
      <c r="C67" s="208" t="s">
        <v>353</v>
      </c>
      <c r="D67" s="101" t="s">
        <v>249</v>
      </c>
      <c r="E67" s="95" t="s">
        <v>51</v>
      </c>
      <c r="F67" s="361"/>
      <c r="G67" s="64">
        <v>15</v>
      </c>
      <c r="H67" s="98">
        <v>325.86649999999997</v>
      </c>
      <c r="I67" s="97">
        <f>ROUND(G67*H67,2)</f>
        <v>4888</v>
      </c>
      <c r="J67" s="150">
        <f>IFERROR(IF(ROUND((((I67/G67*30.4)-VLOOKUP((I67/G67*30.4),TARIFA,1))*VLOOKUP((I67/G67*30.4),TARIFA,3)+VLOOKUP((I67/G67*30.4),TARIFA,2)-VLOOKUP((I67/G67*30.4),SUBSIDIO,2))/30.4*G67,2)&lt;0,ROUND(-(((I67/G67*30.4)-VLOOKUP((I67/G67*30.4),TARIFA,1))*VLOOKUP((I67/G67*30.4),TARIFA,3)+VLOOKUP((I67/G67*30.4),TARIFA,2)-VLOOKUP((I67/G67*30.4),SUBSIDIO,2))/30.4*G67,2),0),0)</f>
        <v>0</v>
      </c>
      <c r="K67" s="150">
        <f>IF(H67&lt;=248.93,0,(IFERROR(IF(ROUND((((I67/G67*30.4)-VLOOKUP((I67/G67*30.4),TARIFA,1))*VLOOKUP((I67/G67*30.4),TARIFA,3)+VLOOKUP((I67/G67*30.4),TARIFA,2)-VLOOKUP((I67/G67*30.4),SUBSIDIO,2))/30.4*G67,2)&gt;0,ROUND((((I67/G67*30.4)-VLOOKUP((I67/G67*30.4),TARIFA,1))*VLOOKUP((I67/G67*30.4),TARIFA,3)+VLOOKUP((I67/G67*30.4),TARIFA,2)-VLOOKUP((I67/G67*30.4),SUBSIDIO,2))/30.4*G67,2),0),0)))</f>
        <v>375.35</v>
      </c>
      <c r="L67" s="98">
        <f>K67</f>
        <v>375.35</v>
      </c>
      <c r="M67" s="98">
        <f>I67+J67-L67</f>
        <v>4512.6499999999996</v>
      </c>
      <c r="N67" s="113"/>
    </row>
    <row r="68" spans="1:97" ht="30" customHeight="1" x14ac:dyDescent="0.2">
      <c r="B68" s="109">
        <v>34</v>
      </c>
      <c r="C68" s="208" t="s">
        <v>353</v>
      </c>
      <c r="D68" s="101" t="s">
        <v>492</v>
      </c>
      <c r="E68" s="95" t="s">
        <v>101</v>
      </c>
      <c r="F68" s="361"/>
      <c r="G68" s="64">
        <v>15</v>
      </c>
      <c r="H68" s="98">
        <v>173.333</v>
      </c>
      <c r="I68" s="97">
        <f>ROUND(G68*H68,2)</f>
        <v>2600</v>
      </c>
      <c r="J68" s="150">
        <f>IFERROR(IF(ROUND((((I68/G68*30.4)-VLOOKUP((I68/G68*30.4),TARIFA,1))*VLOOKUP((I68/G68*30.4),TARIFA,3)+VLOOKUP((I68/G68*30.4),TARIFA,2)-VLOOKUP((I68/G68*30.4),SUBSIDIO,2))/30.4*G68,2)&lt;0,ROUND(-(((I68/G68*30.4)-VLOOKUP((I68/G68*30.4),TARIFA,1))*VLOOKUP((I68/G68*30.4),TARIFA,3)+VLOOKUP((I68/G68*30.4),TARIFA,2)-VLOOKUP((I68/G68*30.4),SUBSIDIO,2))/30.4*G68,2),0),0)</f>
        <v>10.39</v>
      </c>
      <c r="K68" s="150">
        <f>IF(H68&lt;=248.93,0,(IFERROR(IF(ROUND((((I68/G68*30.4)-VLOOKUP((I68/G68*30.4),TARIFA,1))*VLOOKUP((I68/G68*30.4),TARIFA,3)+VLOOKUP((I68/G68*30.4),TARIFA,2)-VLOOKUP((I68/G68*30.4),SUBSIDIO,2))/30.4*G68,2)&gt;0,ROUND((((I68/G68*30.4)-VLOOKUP((I68/G68*30.4),TARIFA,1))*VLOOKUP((I68/G68*30.4),TARIFA,3)+VLOOKUP((I68/G68*30.4),TARIFA,2)-VLOOKUP((I68/G68*30.4),SUBSIDIO,2))/30.4*G68,2),0),0)))</f>
        <v>0</v>
      </c>
      <c r="L68" s="146">
        <f>K68</f>
        <v>0</v>
      </c>
      <c r="M68" s="98">
        <f>I68+J68-L68</f>
        <v>2610.39</v>
      </c>
      <c r="N68" s="113"/>
    </row>
    <row r="69" spans="1:97" ht="30" customHeight="1" x14ac:dyDescent="0.2">
      <c r="B69" s="109">
        <v>35</v>
      </c>
      <c r="C69" s="208" t="s">
        <v>353</v>
      </c>
      <c r="D69" s="101" t="s">
        <v>248</v>
      </c>
      <c r="E69" s="95" t="s">
        <v>111</v>
      </c>
      <c r="F69" s="64"/>
      <c r="G69" s="64">
        <v>15</v>
      </c>
      <c r="H69" s="98">
        <v>143.8664</v>
      </c>
      <c r="I69" s="97">
        <f>ROUND(G69*H69,2)</f>
        <v>2158</v>
      </c>
      <c r="J69" s="150">
        <f>IFERROR(IF(ROUND((((I69/G69*30.4)-VLOOKUP((I69/G69*30.4),TARIFA,1))*VLOOKUP((I69/G69*30.4),TARIFA,3)+VLOOKUP((I69/G69*30.4),TARIFA,2)-VLOOKUP((I69/G69*30.4),SUBSIDIO,2))/30.4*G69,2)&lt;0,ROUND(-(((I69/G69*30.4)-VLOOKUP((I69/G69*30.4),TARIFA,1))*VLOOKUP((I69/G69*30.4),TARIFA,3)+VLOOKUP((I69/G69*30.4),TARIFA,2)-VLOOKUP((I69/G69*30.4),SUBSIDIO,2))/30.4*G69,2),0),0)</f>
        <v>67.099999999999994</v>
      </c>
      <c r="K69" s="150">
        <f>IF(H69&lt;=248.93,0,(IFERROR(IF(ROUND((((I69/G69*30.4)-VLOOKUP((I69/G69*30.4),TARIFA,1))*VLOOKUP((I69/G69*30.4),TARIFA,3)+VLOOKUP((I69/G69*30.4),TARIFA,2)-VLOOKUP((I69/G69*30.4),SUBSIDIO,2))/30.4*G69,2)&gt;0,ROUND((((I69/G69*30.4)-VLOOKUP((I69/G69*30.4),TARIFA,1))*VLOOKUP((I69/G69*30.4),TARIFA,3)+VLOOKUP((I69/G69*30.4),TARIFA,2)-VLOOKUP((I69/G69*30.4),SUBSIDIO,2))/30.4*G69,2),0),0)))</f>
        <v>0</v>
      </c>
      <c r="L69" s="146">
        <f>K69</f>
        <v>0</v>
      </c>
      <c r="M69" s="98">
        <f>I69+J69-L69</f>
        <v>2225.1</v>
      </c>
      <c r="N69" s="113"/>
    </row>
    <row r="70" spans="1:97" ht="30" customHeight="1" x14ac:dyDescent="0.2">
      <c r="B70" s="109"/>
      <c r="C70" s="208"/>
      <c r="D70" s="72"/>
      <c r="E70" s="66" t="s">
        <v>33</v>
      </c>
      <c r="F70" s="391"/>
      <c r="G70" s="392"/>
      <c r="H70" s="211"/>
      <c r="I70" s="100">
        <f>SUM(I67:I69)</f>
        <v>9646</v>
      </c>
      <c r="J70" s="100">
        <f>SUM(J67:J69)</f>
        <v>77.489999999999995</v>
      </c>
      <c r="K70" s="100">
        <f>SUM(K67:K69)</f>
        <v>375.35</v>
      </c>
      <c r="L70" s="100">
        <f>SUM(L67:L69)</f>
        <v>375.35</v>
      </c>
      <c r="M70" s="100">
        <f>SUM(M67:M69)</f>
        <v>9348.14</v>
      </c>
      <c r="N70" s="112"/>
    </row>
    <row r="71" spans="1:97" ht="30" customHeight="1" x14ac:dyDescent="0.2">
      <c r="B71" s="397" t="s">
        <v>53</v>
      </c>
      <c r="C71" s="398"/>
      <c r="D71" s="398"/>
      <c r="E71" s="398"/>
      <c r="F71" s="398"/>
      <c r="G71" s="398"/>
      <c r="H71" s="398"/>
      <c r="I71" s="398"/>
      <c r="J71" s="398"/>
      <c r="K71" s="398"/>
      <c r="L71" s="398"/>
      <c r="M71" s="398"/>
      <c r="N71" s="399"/>
    </row>
    <row r="72" spans="1:97" s="5" customFormat="1" ht="30" customHeight="1" x14ac:dyDescent="0.2">
      <c r="B72" s="109">
        <v>36</v>
      </c>
      <c r="C72" s="208"/>
      <c r="D72" s="101" t="s">
        <v>147</v>
      </c>
      <c r="E72" s="95" t="s">
        <v>51</v>
      </c>
      <c r="F72" s="361"/>
      <c r="G72" s="64">
        <v>15</v>
      </c>
      <c r="H72" s="98">
        <v>325.8664</v>
      </c>
      <c r="I72" s="97">
        <f>ROUND(G72*H72,2)</f>
        <v>4888</v>
      </c>
      <c r="J72" s="150">
        <f>IFERROR(IF(ROUND((((I72/G72*30.4)-VLOOKUP((I72/G72*30.4),TARIFA,1))*VLOOKUP((I72/G72*30.4),TARIFA,3)+VLOOKUP((I72/G72*30.4),TARIFA,2)-VLOOKUP((I72/G72*30.4),SUBSIDIO,2))/30.4*G72,2)&lt;0,ROUND(-(((I72/G72*30.4)-VLOOKUP((I72/G72*30.4),TARIFA,1))*VLOOKUP((I72/G72*30.4),TARIFA,3)+VLOOKUP((I72/G72*30.4),TARIFA,2)-VLOOKUP((I72/G72*30.4),SUBSIDIO,2))/30.4*G72,2),0),0)</f>
        <v>0</v>
      </c>
      <c r="K72" s="150">
        <f>IF(H72&lt;=248.93,0,(IFERROR(IF(ROUND((((I72/G72*30.4)-VLOOKUP((I72/G72*30.4),TARIFA,1))*VLOOKUP((I72/G72*30.4),TARIFA,3)+VLOOKUP((I72/G72*30.4),TARIFA,2)-VLOOKUP((I72/G72*30.4),SUBSIDIO,2))/30.4*G72,2)&gt;0,ROUND((((I72/G72*30.4)-VLOOKUP((I72/G72*30.4),TARIFA,1))*VLOOKUP((I72/G72*30.4),TARIFA,3)+VLOOKUP((I72/G72*30.4),TARIFA,2)-VLOOKUP((I72/G72*30.4),SUBSIDIO,2))/30.4*G72,2),0),0)))</f>
        <v>375.35</v>
      </c>
      <c r="L72" s="98">
        <f>K72</f>
        <v>375.35</v>
      </c>
      <c r="M72" s="98">
        <f>I72+J72-L72</f>
        <v>4512.6499999999996</v>
      </c>
      <c r="N72" s="113"/>
    </row>
    <row r="73" spans="1:97" s="80" customFormat="1" ht="30" customHeight="1" x14ac:dyDescent="0.2">
      <c r="A73" s="28"/>
      <c r="B73" s="109">
        <v>37</v>
      </c>
      <c r="C73" s="208"/>
      <c r="D73" s="101" t="s">
        <v>247</v>
      </c>
      <c r="E73" s="95" t="s">
        <v>40</v>
      </c>
      <c r="F73" s="361"/>
      <c r="G73" s="64">
        <v>15</v>
      </c>
      <c r="H73" s="98">
        <v>124.46639999999999</v>
      </c>
      <c r="I73" s="97">
        <f>ROUND(G73*H73,2)</f>
        <v>1867</v>
      </c>
      <c r="J73" s="97">
        <f>IFERROR(IF(ROUND((((I73/G73*30.4)-VLOOKUP((I73/G73*30.4),TARIFA,1))*VLOOKUP((I73/G73*30.4),TARIFA,3)+VLOOKUP((I73/G73*30.4),TARIFA,2)-VLOOKUP((I73/G73*30.4),SUBSIDIO,2))/30.4*G73,2)&lt;0,ROUND(-(((I73/G73*30.4)-VLOOKUP((I73/G73*30.4),TARIFA,1))*VLOOKUP((I73/G73*30.4),TARIFA,3)+VLOOKUP((I73/G73*30.4),TARIFA,2)-VLOOKUP((I73/G73*30.4),SUBSIDIO,2))/30.4*G73,2),0),0)</f>
        <v>85.72</v>
      </c>
      <c r="K73" s="146">
        <f>IF(H73&lt;=248.93,0,(IFERROR(IF(ROUND((((I73/G73*30.4)-VLOOKUP((I73/G73*30.4),TARIFA,1))*VLOOKUP((I73/G73*30.4),TARIFA,3)+VLOOKUP((I73/G73*30.4),TARIFA,2)-VLOOKUP((I73/G73*30.4),SUBSIDIO,2))/30.4*G73,2)&gt;0,ROUND((((I73/G73*30.4)-VLOOKUP((I73/G73*30.4),TARIFA,1))*VLOOKUP((I73/G73*30.4),TARIFA,3)+VLOOKUP((I73/G73*30.4),TARIFA,2)-VLOOKUP((I73/G73*30.4),SUBSIDIO,2))/30.4*G73,2),0),0)))</f>
        <v>0</v>
      </c>
      <c r="L73" s="146">
        <f>K73</f>
        <v>0</v>
      </c>
      <c r="M73" s="98">
        <f>I73+J73-L73</f>
        <v>1952.72</v>
      </c>
      <c r="N73" s="113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</row>
    <row r="74" spans="1:97" ht="30" customHeight="1" x14ac:dyDescent="0.2">
      <c r="B74" s="109"/>
      <c r="C74" s="208"/>
      <c r="D74" s="72"/>
      <c r="E74" s="66" t="s">
        <v>33</v>
      </c>
      <c r="F74" s="391"/>
      <c r="G74" s="392"/>
      <c r="H74" s="211"/>
      <c r="I74" s="100">
        <f>SUM(I72:I73)</f>
        <v>6755</v>
      </c>
      <c r="J74" s="100">
        <f>SUM(J72:J73)</f>
        <v>85.72</v>
      </c>
      <c r="K74" s="100">
        <f>SUM(K72:K73)</f>
        <v>375.35</v>
      </c>
      <c r="L74" s="100">
        <f>SUM(L72:L73)</f>
        <v>375.35</v>
      </c>
      <c r="M74" s="100">
        <f>SUM(M72:M73)</f>
        <v>6465.37</v>
      </c>
      <c r="N74" s="112"/>
    </row>
    <row r="75" spans="1:97" s="33" customFormat="1" ht="30" customHeight="1" x14ac:dyDescent="0.2">
      <c r="A75" s="28"/>
      <c r="B75" s="403" t="s">
        <v>55</v>
      </c>
      <c r="C75" s="404"/>
      <c r="D75" s="405"/>
      <c r="E75" s="405"/>
      <c r="F75" s="405"/>
      <c r="G75" s="405"/>
      <c r="H75" s="405"/>
      <c r="I75" s="405"/>
      <c r="J75" s="405"/>
      <c r="K75" s="405"/>
      <c r="L75" s="405"/>
      <c r="M75" s="405"/>
      <c r="N75" s="406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</row>
    <row r="76" spans="1:97" ht="30" customHeight="1" x14ac:dyDescent="0.2">
      <c r="B76" s="109">
        <v>38</v>
      </c>
      <c r="C76" s="208" t="s">
        <v>353</v>
      </c>
      <c r="D76" s="101" t="s">
        <v>369</v>
      </c>
      <c r="E76" s="95" t="s">
        <v>51</v>
      </c>
      <c r="F76" s="361"/>
      <c r="G76" s="64">
        <v>15</v>
      </c>
      <c r="H76" s="98">
        <v>278.26650000000001</v>
      </c>
      <c r="I76" s="97">
        <f>ROUND(G76*H76,2)</f>
        <v>4174</v>
      </c>
      <c r="J76" s="144">
        <f>IFERROR(IF(ROUND((((I76/G76*30.4)-VLOOKUP((I76/G76*30.4),TARIFA,1))*VLOOKUP((I76/G76*30.4),TARIFA,3)+VLOOKUP((I76/G76*30.4),TARIFA,2)-VLOOKUP((I76/G76*30.4),SUBSIDIO,2))/30.4*G76,2)&lt;0,ROUND(-(((I76/G76*30.4)-VLOOKUP((I76/G76*30.4),TARIFA,1))*VLOOKUP((I76/G76*30.4),TARIFA,3)+VLOOKUP((I76/G76*30.4),TARIFA,2)-VLOOKUP((I76/G76*30.4),SUBSIDIO,2))/30.4*G76,2),0),0)</f>
        <v>0</v>
      </c>
      <c r="K76" s="98">
        <f>IF(H76&lt;=248.93,0,(IFERROR(IF(ROUND((((I76/G76*30.4)-VLOOKUP((I76/G76*30.4),TARIFA,1))*VLOOKUP((I76/G76*30.4),TARIFA,3)+VLOOKUP((I76/G76*30.4),TARIFA,2)-VLOOKUP((I76/G76*30.4),SUBSIDIO,2))/30.4*G76,2)&gt;0,ROUND((((I76/G76*30.4)-VLOOKUP((I76/G76*30.4),TARIFA,1))*VLOOKUP((I76/G76*30.4),TARIFA,3)+VLOOKUP((I76/G76*30.4),TARIFA,2)-VLOOKUP((I76/G76*30.4),SUBSIDIO,2))/30.4*G76,2),0),0)))</f>
        <v>297.67</v>
      </c>
      <c r="L76" s="98">
        <f>K76</f>
        <v>297.67</v>
      </c>
      <c r="M76" s="98">
        <f>I76+J76-L76</f>
        <v>3876.33</v>
      </c>
      <c r="N76" s="113"/>
    </row>
    <row r="77" spans="1:97" ht="30" customHeight="1" x14ac:dyDescent="0.2">
      <c r="B77" s="109"/>
      <c r="C77" s="208"/>
      <c r="D77" s="73"/>
      <c r="E77" s="66" t="s">
        <v>33</v>
      </c>
      <c r="F77" s="391"/>
      <c r="G77" s="392"/>
      <c r="H77" s="211"/>
      <c r="I77" s="100">
        <f>SUM(I76:I76)</f>
        <v>4174</v>
      </c>
      <c r="J77" s="145">
        <f>SUM(J76:J76)</f>
        <v>0</v>
      </c>
      <c r="K77" s="100">
        <f>SUM(K76:K76)</f>
        <v>297.67</v>
      </c>
      <c r="L77" s="100">
        <f>SUM(L76:L76)</f>
        <v>297.67</v>
      </c>
      <c r="M77" s="100">
        <f>SUM(M76:M76)</f>
        <v>3876.33</v>
      </c>
      <c r="N77" s="112"/>
    </row>
    <row r="78" spans="1:97" s="33" customFormat="1" ht="30" customHeight="1" x14ac:dyDescent="0.2">
      <c r="A78" s="28"/>
      <c r="B78" s="403" t="s">
        <v>50</v>
      </c>
      <c r="C78" s="404"/>
      <c r="D78" s="405"/>
      <c r="E78" s="405"/>
      <c r="F78" s="405"/>
      <c r="G78" s="405"/>
      <c r="H78" s="405"/>
      <c r="I78" s="405"/>
      <c r="J78" s="405"/>
      <c r="K78" s="405"/>
      <c r="L78" s="405"/>
      <c r="M78" s="405"/>
      <c r="N78" s="406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</row>
    <row r="79" spans="1:97" s="80" customFormat="1" ht="30" customHeight="1" x14ac:dyDescent="0.2">
      <c r="A79" s="28"/>
      <c r="B79" s="109">
        <v>39</v>
      </c>
      <c r="C79" s="208"/>
      <c r="D79" s="101" t="s">
        <v>268</v>
      </c>
      <c r="E79" s="95" t="s">
        <v>51</v>
      </c>
      <c r="F79" s="361"/>
      <c r="G79" s="64">
        <v>15</v>
      </c>
      <c r="H79" s="98">
        <v>278.26650000000001</v>
      </c>
      <c r="I79" s="97">
        <f>ROUND(G79*H79,2)</f>
        <v>4174</v>
      </c>
      <c r="J79" s="144">
        <f>IFERROR(IF(ROUND((((I79/G79*30.4)-VLOOKUP((I79/G79*30.4),TARIFA,1))*VLOOKUP((I79/G79*30.4),TARIFA,3)+VLOOKUP((I79/G79*30.4),TARIFA,2)-VLOOKUP((I79/G79*30.4),SUBSIDIO,2))/30.4*G79,2)&lt;0,ROUND(-(((I79/G79*30.4)-VLOOKUP((I79/G79*30.4),TARIFA,1))*VLOOKUP((I79/G79*30.4),TARIFA,3)+VLOOKUP((I79/G79*30.4),TARIFA,2)-VLOOKUP((I79/G79*30.4),SUBSIDIO,2))/30.4*G79,2),0),0)</f>
        <v>0</v>
      </c>
      <c r="K79" s="98">
        <f>IF(H79&lt;=248.93,0,(IFERROR(IF(ROUND((((I79/G79*30.4)-VLOOKUP((I79/G79*30.4),TARIFA,1))*VLOOKUP((I79/G79*30.4),TARIFA,3)+VLOOKUP((I79/G79*30.4),TARIFA,2)-VLOOKUP((I79/G79*30.4),SUBSIDIO,2))/30.4*G79,2)&gt;0,ROUND((((I79/G79*30.4)-VLOOKUP((I79/G79*30.4),TARIFA,1))*VLOOKUP((I79/G79*30.4),TARIFA,3)+VLOOKUP((I79/G79*30.4),TARIFA,2)-VLOOKUP((I79/G79*30.4),SUBSIDIO,2))/30.4*G79,2),0),0)))</f>
        <v>297.67</v>
      </c>
      <c r="L79" s="98">
        <f>K79</f>
        <v>297.67</v>
      </c>
      <c r="M79" s="98">
        <f>I79+J79-L79</f>
        <v>3876.33</v>
      </c>
      <c r="N79" s="113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</row>
    <row r="80" spans="1:97" ht="30" customHeight="1" x14ac:dyDescent="0.2">
      <c r="B80" s="109"/>
      <c r="C80" s="208"/>
      <c r="D80" s="73"/>
      <c r="E80" s="66" t="s">
        <v>33</v>
      </c>
      <c r="F80" s="391"/>
      <c r="G80" s="392"/>
      <c r="H80" s="211"/>
      <c r="I80" s="100">
        <f>SUM(I79:I79)</f>
        <v>4174</v>
      </c>
      <c r="J80" s="145">
        <f>SUM(J79:J79)</f>
        <v>0</v>
      </c>
      <c r="K80" s="100">
        <f>SUM(K79:K79)</f>
        <v>297.67</v>
      </c>
      <c r="L80" s="100">
        <f>SUM(L79:L79)</f>
        <v>297.67</v>
      </c>
      <c r="M80" s="100">
        <f>SUM(M79:M79)</f>
        <v>3876.33</v>
      </c>
      <c r="N80" s="112"/>
    </row>
    <row r="81" spans="1:97" ht="30" customHeight="1" x14ac:dyDescent="0.2">
      <c r="B81" s="403" t="s">
        <v>57</v>
      </c>
      <c r="C81" s="404"/>
      <c r="D81" s="405"/>
      <c r="E81" s="405"/>
      <c r="F81" s="405"/>
      <c r="G81" s="405"/>
      <c r="H81" s="405"/>
      <c r="I81" s="405"/>
      <c r="J81" s="405"/>
      <c r="K81" s="405"/>
      <c r="L81" s="405"/>
      <c r="M81" s="405"/>
      <c r="N81" s="406"/>
    </row>
    <row r="82" spans="1:97" ht="30" customHeight="1" x14ac:dyDescent="0.2">
      <c r="B82" s="109">
        <v>40</v>
      </c>
      <c r="C82" s="208"/>
      <c r="D82" s="101" t="s">
        <v>246</v>
      </c>
      <c r="E82" s="95" t="s">
        <v>58</v>
      </c>
      <c r="F82" s="361"/>
      <c r="G82" s="64">
        <v>15</v>
      </c>
      <c r="H82" s="98">
        <v>214</v>
      </c>
      <c r="I82" s="97">
        <f>ROUND(G82*H82,2)</f>
        <v>3210</v>
      </c>
      <c r="J82" s="144">
        <f>IFERROR(IF(ROUND((((I82/G82*30.4)-VLOOKUP((I82/G82*30.4),TARIFA,1))*VLOOKUP((I82/G82*30.4),TARIFA,3)+VLOOKUP((I82/G82*30.4),TARIFA,2)-VLOOKUP((I82/G82*30.4),SUBSIDIO,2))/30.4*G82,2)&lt;0,ROUND(-(((I82/G82*30.4)-VLOOKUP((I82/G82*30.4),TARIFA,1))*VLOOKUP((I82/G82*30.4),TARIFA,3)+VLOOKUP((I82/G82*30.4),TARIFA,2)-VLOOKUP((I82/G82*30.4),SUBSIDIO,2))/30.4*G82,2),0),0)</f>
        <v>0</v>
      </c>
      <c r="K82" s="146">
        <f>IF(H82&lt;=248.93,0,(IFERROR(IF(ROUND((((I82/G82*30.4)-VLOOKUP((I82/G82*30.4),TARIFA,1))*VLOOKUP((I82/G82*30.4),TARIFA,3)+VLOOKUP((I82/G82*30.4),TARIFA,2)-VLOOKUP((I82/G82*30.4),SUBSIDIO,2))/30.4*G82,2)&gt;0,ROUND((((I82/G82*30.4)-VLOOKUP((I82/G82*30.4),TARIFA,1))*VLOOKUP((I82/G82*30.4),TARIFA,3)+VLOOKUP((I82/G82*30.4),TARIFA,2)-VLOOKUP((I82/G82*30.4),SUBSIDIO,2))/30.4*G82,2),0),0)))</f>
        <v>0</v>
      </c>
      <c r="L82" s="146">
        <f>K82</f>
        <v>0</v>
      </c>
      <c r="M82" s="98">
        <f>I82+J82-L82</f>
        <v>3210</v>
      </c>
      <c r="N82" s="113"/>
    </row>
    <row r="83" spans="1:97" s="80" customFormat="1" ht="30" customHeight="1" x14ac:dyDescent="0.2">
      <c r="A83" s="28"/>
      <c r="B83" s="109">
        <v>41</v>
      </c>
      <c r="C83" s="208" t="s">
        <v>353</v>
      </c>
      <c r="D83" s="101" t="s">
        <v>245</v>
      </c>
      <c r="E83" s="95" t="s">
        <v>68</v>
      </c>
      <c r="F83" s="361"/>
      <c r="G83" s="64">
        <v>15</v>
      </c>
      <c r="H83" s="98">
        <v>229.733</v>
      </c>
      <c r="I83" s="97">
        <f>ROUND(G83*H83,2)</f>
        <v>3446</v>
      </c>
      <c r="J83" s="144">
        <f>IFERROR(IF(ROUND((((I83/G83*30.4)-VLOOKUP((I83/G83*30.4),TARIFA,1))*VLOOKUP((I83/G83*30.4),TARIFA,3)+VLOOKUP((I83/G83*30.4),TARIFA,2)-VLOOKUP((I83/G83*30.4),SUBSIDIO,2))/30.4*G83,2)&lt;0,ROUND(-(((I83/G83*30.4)-VLOOKUP((I83/G83*30.4),TARIFA,1))*VLOOKUP((I83/G83*30.4),TARIFA,3)+VLOOKUP((I83/G83*30.4),TARIFA,2)-VLOOKUP((I83/G83*30.4),SUBSIDIO,2))/30.4*G83,2),0),0)</f>
        <v>0</v>
      </c>
      <c r="K83" s="146">
        <f>IF(H83&lt;=248.93,0,(IFERROR(IF(ROUND((((I83/G83*30.4)-VLOOKUP((I83/G83*30.4),TARIFA,1))*VLOOKUP((I83/G83*30.4),TARIFA,3)+VLOOKUP((I83/G83*30.4),TARIFA,2)-VLOOKUP((I83/G83*30.4),SUBSIDIO,2))/30.4*G83,2)&gt;0,ROUND((((I83/G83*30.4)-VLOOKUP((I83/G83*30.4),TARIFA,1))*VLOOKUP((I83/G83*30.4),TARIFA,3)+VLOOKUP((I83/G83*30.4),TARIFA,2)-VLOOKUP((I83/G83*30.4),SUBSIDIO,2))/30.4*G83,2),0),0)))</f>
        <v>0</v>
      </c>
      <c r="L83" s="146">
        <f>K83</f>
        <v>0</v>
      </c>
      <c r="M83" s="98">
        <f>I83+J83-L83</f>
        <v>3446</v>
      </c>
      <c r="N83" s="113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</row>
    <row r="84" spans="1:97" ht="30" customHeight="1" x14ac:dyDescent="0.2">
      <c r="B84" s="109"/>
      <c r="C84" s="208"/>
      <c r="D84" s="72"/>
      <c r="E84" s="66" t="s">
        <v>33</v>
      </c>
      <c r="F84" s="66"/>
      <c r="G84" s="66"/>
      <c r="H84" s="211"/>
      <c r="I84" s="100">
        <f>SUM(I82:I83)</f>
        <v>6656</v>
      </c>
      <c r="J84" s="145">
        <f>SUM(J82:J83)</f>
        <v>0</v>
      </c>
      <c r="K84" s="145">
        <f>SUM(K82:K83)</f>
        <v>0</v>
      </c>
      <c r="L84" s="145">
        <f>SUM(L82:L83)</f>
        <v>0</v>
      </c>
      <c r="M84" s="100">
        <f>SUM(M82:M83)</f>
        <v>6656</v>
      </c>
      <c r="N84" s="112"/>
    </row>
    <row r="85" spans="1:97" ht="30" customHeight="1" x14ac:dyDescent="0.2">
      <c r="B85" s="397" t="s">
        <v>59</v>
      </c>
      <c r="C85" s="398"/>
      <c r="D85" s="398"/>
      <c r="E85" s="398"/>
      <c r="F85" s="398"/>
      <c r="G85" s="398"/>
      <c r="H85" s="398"/>
      <c r="I85" s="398"/>
      <c r="J85" s="398"/>
      <c r="K85" s="398"/>
      <c r="L85" s="398"/>
      <c r="M85" s="398"/>
      <c r="N85" s="399"/>
    </row>
    <row r="86" spans="1:97" s="5" customFormat="1" ht="30" customHeight="1" x14ac:dyDescent="0.2">
      <c r="B86" s="109">
        <v>42</v>
      </c>
      <c r="C86" s="208"/>
      <c r="D86" s="99" t="s">
        <v>132</v>
      </c>
      <c r="E86" s="95" t="s">
        <v>35</v>
      </c>
      <c r="F86" s="64"/>
      <c r="G86" s="64">
        <v>15</v>
      </c>
      <c r="H86" s="98">
        <v>598.53300000000002</v>
      </c>
      <c r="I86" s="97">
        <f>ROUND(G86*H86,2)</f>
        <v>8978</v>
      </c>
      <c r="J86" s="144">
        <f>IFERROR(IF(ROUND((((I86/G86*30.4)-VLOOKUP((I86/G86*30.4),TARIFA,1))*VLOOKUP((I86/G86*30.4),TARIFA,3)+VLOOKUP((I86/G86*30.4),TARIFA,2)-VLOOKUP((I86/G86*30.4),SUBSIDIO,2))/30.4*G86,2)&lt;0,ROUND(-(((I86/G86*30.4)-VLOOKUP((I86/G86*30.4),TARIFA,1))*VLOOKUP((I86/G86*30.4),TARIFA,3)+VLOOKUP((I86/G86*30.4),TARIFA,2)-VLOOKUP((I86/G86*30.4),SUBSIDIO,2))/30.4*G86,2),0),0)</f>
        <v>0</v>
      </c>
      <c r="K86" s="98">
        <f>IF(H86&lt;=248.93,0,(IFERROR(IF(ROUND((((I86/G86*30.4)-VLOOKUP((I86/G86*30.4),TARIFA,1))*VLOOKUP((I86/G86*30.4),TARIFA,3)+VLOOKUP((I86/G86*30.4),TARIFA,2)-VLOOKUP((I86/G86*30.4),SUBSIDIO,2))/30.4*G86,2)&gt;0,ROUND((((I86/G86*30.4)-VLOOKUP((I86/G86*30.4),TARIFA,1))*VLOOKUP((I86/G86*30.4),TARIFA,3)+VLOOKUP((I86/G86*30.4),TARIFA,2)-VLOOKUP((I86/G86*30.4),SUBSIDIO,2))/30.4*G86,2),0),0)))</f>
        <v>1094.68</v>
      </c>
      <c r="L86" s="98">
        <f>K86</f>
        <v>1094.68</v>
      </c>
      <c r="M86" s="98">
        <f>I86+J86-L86</f>
        <v>7883.32</v>
      </c>
      <c r="N86" s="113"/>
    </row>
    <row r="87" spans="1:97" s="80" customFormat="1" ht="30" customHeight="1" x14ac:dyDescent="0.2">
      <c r="A87" s="28"/>
      <c r="B87" s="109">
        <v>43</v>
      </c>
      <c r="C87" s="208" t="s">
        <v>353</v>
      </c>
      <c r="D87" s="101" t="s">
        <v>244</v>
      </c>
      <c r="E87" s="95" t="s">
        <v>42</v>
      </c>
      <c r="F87" s="361"/>
      <c r="G87" s="64">
        <v>15</v>
      </c>
      <c r="H87" s="98">
        <v>173.333</v>
      </c>
      <c r="I87" s="97">
        <f>ROUND(G87*H87,2)</f>
        <v>2600</v>
      </c>
      <c r="J87" s="97">
        <f>IFERROR(IF(ROUND((((I87/G87*30.4)-VLOOKUP((I87/G87*30.4),TARIFA,1))*VLOOKUP((I87/G87*30.4),TARIFA,3)+VLOOKUP((I87/G87*30.4),TARIFA,2)-VLOOKUP((I87/G87*30.4),SUBSIDIO,2))/30.4*G87,2)&lt;0,ROUND(-(((I87/G87*30.4)-VLOOKUP((I87/G87*30.4),TARIFA,1))*VLOOKUP((I87/G87*30.4),TARIFA,3)+VLOOKUP((I87/G87*30.4),TARIFA,2)-VLOOKUP((I87/G87*30.4),SUBSIDIO,2))/30.4*G87,2),0),0)</f>
        <v>10.39</v>
      </c>
      <c r="K87" s="146">
        <f>IF(H87&lt;=248.93,0,(IFERROR(IF(ROUND((((I87/G87*30.4)-VLOOKUP((I87/G87*30.4),TARIFA,1))*VLOOKUP((I87/G87*30.4),TARIFA,3)+VLOOKUP((I87/G87*30.4),TARIFA,2)-VLOOKUP((I87/G87*30.4),SUBSIDIO,2))/30.4*G87,2)&gt;0,ROUND((((I87/G87*30.4)-VLOOKUP((I87/G87*30.4),TARIFA,1))*VLOOKUP((I87/G87*30.4),TARIFA,3)+VLOOKUP((I87/G87*30.4),TARIFA,2)-VLOOKUP((I87/G87*30.4),SUBSIDIO,2))/30.4*G87,2),0),0)))</f>
        <v>0</v>
      </c>
      <c r="L87" s="146">
        <v>0</v>
      </c>
      <c r="M87" s="98">
        <f>I87+J87-L87</f>
        <v>2610.39</v>
      </c>
      <c r="N87" s="113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  <c r="CS87" s="28"/>
    </row>
    <row r="88" spans="1:97" s="5" customFormat="1" ht="30" customHeight="1" x14ac:dyDescent="0.2">
      <c r="B88" s="109">
        <v>44</v>
      </c>
      <c r="C88" s="208" t="s">
        <v>353</v>
      </c>
      <c r="D88" s="99" t="s">
        <v>481</v>
      </c>
      <c r="E88" s="95" t="s">
        <v>480</v>
      </c>
      <c r="F88" s="64"/>
      <c r="G88" s="64">
        <v>15</v>
      </c>
      <c r="H88" s="98">
        <v>303</v>
      </c>
      <c r="I88" s="97">
        <f>ROUND(G88*H88,2)</f>
        <v>4545</v>
      </c>
      <c r="J88" s="144">
        <f>IFERROR(IF(ROUND((((I88/G88*30.4)-VLOOKUP((I88/G88*30.4),TARIFA,1))*VLOOKUP((I88/G88*30.4),TARIFA,3)+VLOOKUP((I88/G88*30.4),TARIFA,2)-VLOOKUP((I88/G88*30.4),SUBSIDIO,2))/30.4*G88,2)&lt;0,ROUND(-(((I88/G88*30.4)-VLOOKUP((I88/G88*30.4),TARIFA,1))*VLOOKUP((I88/G88*30.4),TARIFA,3)+VLOOKUP((I88/G88*30.4),TARIFA,2)-VLOOKUP((I88/G88*30.4),SUBSIDIO,2))/30.4*G88,2),0),0)</f>
        <v>0</v>
      </c>
      <c r="K88" s="98">
        <f>IF(H88&lt;=248.93,0,(IFERROR(IF(ROUND((((I88/G88*30.4)-VLOOKUP((I88/G88*30.4),TARIFA,1))*VLOOKUP((I88/G88*30.4),TARIFA,3)+VLOOKUP((I88/G88*30.4),TARIFA,2)-VLOOKUP((I88/G88*30.4),SUBSIDIO,2))/30.4*G88,2)&gt;0,ROUND((((I88/G88*30.4)-VLOOKUP((I88/G88*30.4),TARIFA,1))*VLOOKUP((I88/G88*30.4),TARIFA,3)+VLOOKUP((I88/G88*30.4),TARIFA,2)-VLOOKUP((I88/G88*30.4),SUBSIDIO,2))/30.4*G88,2),0),0)))</f>
        <v>338.03</v>
      </c>
      <c r="L88" s="98">
        <f>K88</f>
        <v>338.03</v>
      </c>
      <c r="M88" s="98">
        <f>I88+J88-L88</f>
        <v>4206.97</v>
      </c>
      <c r="N88" s="113"/>
    </row>
    <row r="89" spans="1:97" ht="30" customHeight="1" x14ac:dyDescent="0.2">
      <c r="B89" s="109"/>
      <c r="C89" s="208"/>
      <c r="D89" s="72"/>
      <c r="E89" s="66" t="s">
        <v>33</v>
      </c>
      <c r="F89" s="391"/>
      <c r="G89" s="392"/>
      <c r="H89" s="211"/>
      <c r="I89" s="100">
        <f>SUM(I86:I88)</f>
        <v>16123</v>
      </c>
      <c r="J89" s="100">
        <f t="shared" ref="J89:M89" si="18">SUM(J86:J88)</f>
        <v>10.39</v>
      </c>
      <c r="K89" s="100">
        <f t="shared" si="18"/>
        <v>1432.71</v>
      </c>
      <c r="L89" s="100">
        <f t="shared" si="18"/>
        <v>1432.71</v>
      </c>
      <c r="M89" s="100">
        <f t="shared" si="18"/>
        <v>14700.68</v>
      </c>
      <c r="N89" s="112"/>
    </row>
    <row r="90" spans="1:97" ht="30" customHeight="1" x14ac:dyDescent="0.2">
      <c r="B90" s="403" t="s">
        <v>75</v>
      </c>
      <c r="C90" s="404"/>
      <c r="D90" s="405"/>
      <c r="E90" s="405"/>
      <c r="F90" s="405"/>
      <c r="G90" s="405"/>
      <c r="H90" s="405"/>
      <c r="I90" s="405"/>
      <c r="J90" s="405"/>
      <c r="K90" s="405"/>
      <c r="L90" s="405"/>
      <c r="M90" s="405"/>
      <c r="N90" s="406"/>
    </row>
    <row r="91" spans="1:97" ht="30" customHeight="1" x14ac:dyDescent="0.2">
      <c r="B91" s="109">
        <v>45</v>
      </c>
      <c r="C91" s="208"/>
      <c r="D91" s="101" t="s">
        <v>243</v>
      </c>
      <c r="E91" s="95" t="s">
        <v>35</v>
      </c>
      <c r="F91" s="361"/>
      <c r="G91" s="64">
        <v>15</v>
      </c>
      <c r="H91" s="98">
        <v>315.13299999999998</v>
      </c>
      <c r="I91" s="97">
        <f>ROUND(G91*H91,2)</f>
        <v>4727</v>
      </c>
      <c r="J91" s="144">
        <f>IFERROR(IF(ROUND((((I91/G91*30.4)-VLOOKUP((I91/G91*30.4),TARIFA,1))*VLOOKUP((I91/G91*30.4),TARIFA,3)+VLOOKUP((I91/G91*30.4),TARIFA,2)-VLOOKUP((I91/G91*30.4),SUBSIDIO,2))/30.4*G91,2)&lt;0,ROUND(-(((I91/G91*30.4)-VLOOKUP((I91/G91*30.4),TARIFA,1))*VLOOKUP((I91/G91*30.4),TARIFA,3)+VLOOKUP((I91/G91*30.4),TARIFA,2)-VLOOKUP((I91/G91*30.4),SUBSIDIO,2))/30.4*G91,2),0),0)</f>
        <v>0</v>
      </c>
      <c r="K91" s="98">
        <f>IF(H91&lt;=248.93,0,(IFERROR(IF(ROUND((((I91/G91*30.4)-VLOOKUP((I91/G91*30.4),TARIFA,1))*VLOOKUP((I91/G91*30.4),TARIFA,3)+VLOOKUP((I91/G91*30.4),TARIFA,2)-VLOOKUP((I91/G91*30.4),SUBSIDIO,2))/30.4*G91,2)&gt;0,ROUND((((I91/G91*30.4)-VLOOKUP((I91/G91*30.4),TARIFA,1))*VLOOKUP((I91/G91*30.4),TARIFA,3)+VLOOKUP((I91/G91*30.4),TARIFA,2)-VLOOKUP((I91/G91*30.4),SUBSIDIO,2))/30.4*G91,2),0),0)))</f>
        <v>357.83</v>
      </c>
      <c r="L91" s="98">
        <f>K91</f>
        <v>357.83</v>
      </c>
      <c r="M91" s="98">
        <f>I91+J91-L91</f>
        <v>4369.17</v>
      </c>
      <c r="N91" s="113"/>
    </row>
    <row r="92" spans="1:97" ht="30" customHeight="1" x14ac:dyDescent="0.2">
      <c r="B92" s="109"/>
      <c r="C92" s="208"/>
      <c r="D92" s="72"/>
      <c r="E92" s="66" t="s">
        <v>33</v>
      </c>
      <c r="F92" s="200"/>
      <c r="G92" s="201"/>
      <c r="H92" s="211"/>
      <c r="I92" s="100">
        <f>SUM(I91:I91)</f>
        <v>4727</v>
      </c>
      <c r="J92" s="145">
        <f>SUM(J91:J91)</f>
        <v>0</v>
      </c>
      <c r="K92" s="100">
        <f>SUM(K91:K91)</f>
        <v>357.83</v>
      </c>
      <c r="L92" s="100">
        <f>SUM(L91:L91)</f>
        <v>357.83</v>
      </c>
      <c r="M92" s="100">
        <f>SUM(M91:M91)</f>
        <v>4369.17</v>
      </c>
      <c r="N92" s="112"/>
    </row>
    <row r="93" spans="1:97" ht="30" customHeight="1" x14ac:dyDescent="0.2">
      <c r="B93" s="403" t="s">
        <v>84</v>
      </c>
      <c r="C93" s="404"/>
      <c r="D93" s="405"/>
      <c r="E93" s="405"/>
      <c r="F93" s="405"/>
      <c r="G93" s="405"/>
      <c r="H93" s="405"/>
      <c r="I93" s="405"/>
      <c r="J93" s="405"/>
      <c r="K93" s="405"/>
      <c r="L93" s="405"/>
      <c r="M93" s="405"/>
      <c r="N93" s="406"/>
    </row>
    <row r="94" spans="1:97" s="80" customFormat="1" ht="30" customHeight="1" x14ac:dyDescent="0.2">
      <c r="A94" s="28"/>
      <c r="B94" s="109">
        <v>46</v>
      </c>
      <c r="C94" s="208" t="s">
        <v>353</v>
      </c>
      <c r="D94" s="101" t="s">
        <v>242</v>
      </c>
      <c r="E94" s="95" t="s">
        <v>35</v>
      </c>
      <c r="F94" s="361"/>
      <c r="G94" s="64">
        <v>15</v>
      </c>
      <c r="H94" s="98">
        <v>466.33300000000003</v>
      </c>
      <c r="I94" s="97">
        <f>ROUND(G94*H94,2)</f>
        <v>6995</v>
      </c>
      <c r="J94" s="144">
        <f>IFERROR(IF(ROUND((((I94/G94*30.4)-VLOOKUP((I94/G94*30.4),TARIFA,1))*VLOOKUP((I94/G94*30.4),TARIFA,3)+VLOOKUP((I94/G94*30.4),TARIFA,2)-VLOOKUP((I94/G94*30.4),SUBSIDIO,2))/30.4*G94,2)&lt;0,ROUND(-(((I94/G94*30.4)-VLOOKUP((I94/G94*30.4),TARIFA,1))*VLOOKUP((I94/G94*30.4),TARIFA,3)+VLOOKUP((I94/G94*30.4),TARIFA,2)-VLOOKUP((I94/G94*30.4),SUBSIDIO,2))/30.4*G94,2),0),0)</f>
        <v>0</v>
      </c>
      <c r="K94" s="98">
        <f>IF(H94&lt;=248.93,0,(IFERROR(IF(ROUND((((I94/G94*30.4)-VLOOKUP((I94/G94*30.4),TARIFA,1))*VLOOKUP((I94/G94*30.4),TARIFA,3)+VLOOKUP((I94/G94*30.4),TARIFA,2)-VLOOKUP((I94/G94*30.4),SUBSIDIO,2))/30.4*G94,2)&gt;0,ROUND((((I94/G94*30.4)-VLOOKUP((I94/G94*30.4),TARIFA,1))*VLOOKUP((I94/G94*30.4),TARIFA,3)+VLOOKUP((I94/G94*30.4),TARIFA,2)-VLOOKUP((I94/G94*30.4),SUBSIDIO,2))/30.4*G94,2),0),0)))</f>
        <v>693.36</v>
      </c>
      <c r="L94" s="98">
        <f>K94</f>
        <v>693.36</v>
      </c>
      <c r="M94" s="98">
        <f>I94+J94-L94</f>
        <v>6301.64</v>
      </c>
      <c r="N94" s="113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</row>
    <row r="95" spans="1:97" ht="30" customHeight="1" x14ac:dyDescent="0.2">
      <c r="B95" s="109"/>
      <c r="C95" s="208"/>
      <c r="D95" s="72"/>
      <c r="E95" s="66" t="s">
        <v>33</v>
      </c>
      <c r="F95" s="391"/>
      <c r="G95" s="392"/>
      <c r="H95" s="211"/>
      <c r="I95" s="100">
        <f>SUM(I94:I94)</f>
        <v>6995</v>
      </c>
      <c r="J95" s="144">
        <f>IFERROR(IF(ROUND((((I95/G95*30.4)-VLOOKUP((I95/G95*30.4),TARIFA,1))*VLOOKUP((I95/G95*30.4),TARIFA,3)+VLOOKUP((I95/G95*30.4),TARIFA,2)-VLOOKUP((I95/G95*30.4),SUBSIDIO,2))/30.4*G95,2)&lt;0,ROUND(-(((I95/G95*30.4)-VLOOKUP((I95/G95*30.4),TARIFA,1))*VLOOKUP((I95/G95*30.4),TARIFA,3)+VLOOKUP((I95/G95*30.4),TARIFA,2)-VLOOKUP((I95/G95*30.4),SUBSIDIO,2))/30.4*G95,2),0),0)</f>
        <v>0</v>
      </c>
      <c r="K95" s="100">
        <f>SUM(K94:K94)</f>
        <v>693.36</v>
      </c>
      <c r="L95" s="100">
        <f>SUM(L94:L94)</f>
        <v>693.36</v>
      </c>
      <c r="M95" s="100">
        <f>SUM(M94:M94)</f>
        <v>6301.64</v>
      </c>
      <c r="N95" s="112"/>
    </row>
    <row r="96" spans="1:97" ht="14.25" customHeight="1" x14ac:dyDescent="0.2">
      <c r="B96" s="412"/>
      <c r="C96" s="413"/>
      <c r="D96" s="413"/>
      <c r="E96" s="413"/>
      <c r="F96" s="413"/>
      <c r="G96" s="413"/>
      <c r="H96" s="413"/>
      <c r="I96" s="413"/>
      <c r="J96" s="413"/>
      <c r="K96" s="413"/>
      <c r="L96" s="413"/>
      <c r="M96" s="413"/>
      <c r="N96" s="414"/>
    </row>
    <row r="97" spans="2:14" ht="20.25" customHeight="1" x14ac:dyDescent="0.2">
      <c r="B97" s="409" t="s">
        <v>17</v>
      </c>
      <c r="C97" s="410"/>
      <c r="D97" s="411"/>
      <c r="E97" s="411"/>
      <c r="F97" s="411"/>
      <c r="G97" s="411"/>
      <c r="H97" s="411"/>
      <c r="I97" s="100">
        <f t="shared" ref="I97:N97" si="19">+I14+I17+I21+I28+I32+I37+I40+I44+I48+I51+I54+I62+I65+I70+I74+I77+I84+I89+I92+I95+I80</f>
        <v>223239.79</v>
      </c>
      <c r="J97" s="100">
        <f t="shared" si="19"/>
        <v>274.54999999999995</v>
      </c>
      <c r="K97" s="100">
        <f t="shared" si="19"/>
        <v>17761.140000000003</v>
      </c>
      <c r="L97" s="100">
        <f t="shared" si="19"/>
        <v>17761.140000000003</v>
      </c>
      <c r="M97" s="100">
        <f t="shared" si="19"/>
        <v>205753.19999999998</v>
      </c>
      <c r="N97" s="100">
        <f t="shared" si="19"/>
        <v>0</v>
      </c>
    </row>
    <row r="98" spans="2:14" ht="20.100000000000001" customHeight="1" x14ac:dyDescent="0.2">
      <c r="B98" s="116"/>
      <c r="C98" s="114"/>
      <c r="D98" s="114"/>
      <c r="E98" s="114"/>
      <c r="F98" s="114"/>
      <c r="G98" s="114"/>
      <c r="H98" s="114"/>
      <c r="I98" s="115"/>
      <c r="J98" s="115"/>
      <c r="K98" s="115"/>
      <c r="L98" s="115"/>
      <c r="M98" s="115"/>
      <c r="N98" s="117"/>
    </row>
    <row r="99" spans="2:14" ht="20.100000000000001" customHeight="1" x14ac:dyDescent="0.2">
      <c r="B99" s="116"/>
      <c r="C99" s="114"/>
      <c r="D99" s="114"/>
      <c r="E99" s="114"/>
      <c r="F99" s="114"/>
      <c r="G99" s="114"/>
      <c r="H99" s="114"/>
      <c r="I99" s="115"/>
      <c r="J99" s="115"/>
      <c r="K99" s="115"/>
      <c r="L99" s="115"/>
      <c r="M99" s="115"/>
      <c r="N99" s="117"/>
    </row>
    <row r="100" spans="2:14" ht="20.100000000000001" customHeight="1" x14ac:dyDescent="0.2">
      <c r="B100" s="116"/>
      <c r="C100" s="114"/>
      <c r="D100" s="114"/>
      <c r="E100" s="114"/>
      <c r="F100" s="114"/>
      <c r="G100" s="114"/>
      <c r="H100" s="114"/>
      <c r="I100" s="115"/>
      <c r="J100" s="115"/>
      <c r="K100" s="115"/>
      <c r="L100" s="115"/>
      <c r="M100" s="115"/>
      <c r="N100" s="117"/>
    </row>
    <row r="101" spans="2:14" ht="20.100000000000001" customHeight="1" x14ac:dyDescent="0.2">
      <c r="B101" s="116"/>
      <c r="C101" s="114"/>
      <c r="D101" s="114"/>
      <c r="E101" s="114"/>
      <c r="F101" s="114"/>
      <c r="G101" s="114"/>
      <c r="H101" s="114"/>
      <c r="I101" s="115"/>
      <c r="J101" s="115"/>
      <c r="K101" s="115"/>
      <c r="L101" s="115"/>
      <c r="M101" s="115"/>
      <c r="N101" s="117"/>
    </row>
    <row r="102" spans="2:14" ht="13.5" x14ac:dyDescent="0.2">
      <c r="B102" s="91"/>
      <c r="C102" s="5"/>
      <c r="D102" s="386" t="s">
        <v>487</v>
      </c>
      <c r="E102" s="386"/>
      <c r="F102" s="5"/>
      <c r="G102" s="5"/>
      <c r="H102" s="5"/>
      <c r="I102" s="32"/>
      <c r="L102" s="90" t="s">
        <v>294</v>
      </c>
      <c r="M102" s="90"/>
      <c r="N102" s="89"/>
    </row>
    <row r="103" spans="2:14" ht="13.5" thickBot="1" x14ac:dyDescent="0.25">
      <c r="B103" s="92"/>
      <c r="C103" s="93"/>
      <c r="D103" s="407" t="s">
        <v>293</v>
      </c>
      <c r="E103" s="407"/>
      <c r="F103" s="93"/>
      <c r="G103" s="93"/>
      <c r="H103" s="93"/>
      <c r="I103" s="94"/>
      <c r="J103" s="127"/>
      <c r="K103" s="127"/>
      <c r="L103" s="407" t="s">
        <v>295</v>
      </c>
      <c r="M103" s="407"/>
      <c r="N103" s="408"/>
    </row>
    <row r="104" spans="2:14" x14ac:dyDescent="0.2">
      <c r="N104" s="24"/>
    </row>
    <row r="106" spans="2:14" x14ac:dyDescent="0.2">
      <c r="L106" s="25" t="s">
        <v>90</v>
      </c>
      <c r="M106" s="147">
        <f>M9+M10+M11+M12+M13+M19+M20+M23+M24+M25+M26+M27+M30+M31+M34+M35+M36+M39+M42+M43+M46+M47+M50+M53+M56+M57+M58+M59+M60+M61+M64+M67+M68+M69+M72+M73+M76+M79+M82+M83+M86+M87+M88+M91+M94</f>
        <v>194972.78000000006</v>
      </c>
      <c r="N106" s="268"/>
    </row>
    <row r="107" spans="2:14" x14ac:dyDescent="0.2">
      <c r="L107" s="25" t="s">
        <v>91</v>
      </c>
      <c r="M107" s="147">
        <f>M16</f>
        <v>10780.42</v>
      </c>
    </row>
    <row r="108" spans="2:14" x14ac:dyDescent="0.2">
      <c r="E108" s="35" t="s">
        <v>350</v>
      </c>
      <c r="M108" s="147">
        <f>SUM(M106:M107)</f>
        <v>205753.20000000007</v>
      </c>
    </row>
    <row r="110" spans="2:14" x14ac:dyDescent="0.2">
      <c r="L110" s="25" t="s">
        <v>302</v>
      </c>
      <c r="M110" s="148">
        <f>M97-M108</f>
        <v>0</v>
      </c>
    </row>
  </sheetData>
  <mergeCells count="46">
    <mergeCell ref="F48:G48"/>
    <mergeCell ref="B78:N78"/>
    <mergeCell ref="F80:G80"/>
    <mergeCell ref="B75:N75"/>
    <mergeCell ref="B81:N81"/>
    <mergeCell ref="F77:G77"/>
    <mergeCell ref="F74:G74"/>
    <mergeCell ref="B49:N49"/>
    <mergeCell ref="B66:N66"/>
    <mergeCell ref="B55:N55"/>
    <mergeCell ref="B85:N85"/>
    <mergeCell ref="B71:N71"/>
    <mergeCell ref="F51:G51"/>
    <mergeCell ref="F70:G70"/>
    <mergeCell ref="F62:G62"/>
    <mergeCell ref="F65:G65"/>
    <mergeCell ref="B52:N52"/>
    <mergeCell ref="B63:N63"/>
    <mergeCell ref="D103:E103"/>
    <mergeCell ref="L103:N103"/>
    <mergeCell ref="F95:G95"/>
    <mergeCell ref="F89:G89"/>
    <mergeCell ref="B97:H97"/>
    <mergeCell ref="B93:N93"/>
    <mergeCell ref="B90:N90"/>
    <mergeCell ref="B96:N96"/>
    <mergeCell ref="D102:E102"/>
    <mergeCell ref="B15:N15"/>
    <mergeCell ref="B18:N18"/>
    <mergeCell ref="B22:N22"/>
    <mergeCell ref="B45:N45"/>
    <mergeCell ref="B33:N33"/>
    <mergeCell ref="B38:N38"/>
    <mergeCell ref="F21:G21"/>
    <mergeCell ref="B29:N29"/>
    <mergeCell ref="F32:G32"/>
    <mergeCell ref="F28:G28"/>
    <mergeCell ref="B41:N41"/>
    <mergeCell ref="F44:G44"/>
    <mergeCell ref="F40:G40"/>
    <mergeCell ref="F37:G37"/>
    <mergeCell ref="E2:K2"/>
    <mergeCell ref="E5:K5"/>
    <mergeCell ref="L5:N5"/>
    <mergeCell ref="F14:G14"/>
    <mergeCell ref="D7:J7"/>
  </mergeCells>
  <pageMargins left="0.25" right="0.25" top="0.75" bottom="0.75" header="0.3" footer="0.3"/>
  <pageSetup paperSize="9" scale="85" fitToHeight="0" orientation="landscape" horizontalDpi="4294967293" r:id="rId1"/>
  <rowBreaks count="1" manualBreakCount="1">
    <brk id="77" min="1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60"/>
  <sheetViews>
    <sheetView showGridLines="0" topLeftCell="A7" zoomScale="80" zoomScaleNormal="80" workbookViewId="0">
      <selection activeCell="F7" sqref="F7"/>
    </sheetView>
  </sheetViews>
  <sheetFormatPr baseColWidth="10" defaultColWidth="11.42578125" defaultRowHeight="18" x14ac:dyDescent="0.2"/>
  <cols>
    <col min="1" max="1" width="4.5703125" style="28" customWidth="1"/>
    <col min="2" max="2" width="4.5703125" style="4" customWidth="1"/>
    <col min="3" max="3" width="5.28515625" style="4" customWidth="1"/>
    <col min="4" max="4" width="38.5703125" style="82" customWidth="1"/>
    <col min="5" max="5" width="20.140625" style="78" bestFit="1" customWidth="1"/>
    <col min="6" max="6" width="25.5703125" style="25" customWidth="1"/>
    <col min="7" max="7" width="6.5703125" style="25" customWidth="1"/>
    <col min="8" max="8" width="9.42578125" style="25" bestFit="1" customWidth="1"/>
    <col min="9" max="9" width="13.28515625" style="25" customWidth="1"/>
    <col min="10" max="10" width="11.28515625" style="25" bestFit="1" customWidth="1"/>
    <col min="11" max="11" width="11.28515625" style="25" customWidth="1"/>
    <col min="12" max="13" width="12.7109375" style="25" bestFit="1" customWidth="1"/>
    <col min="14" max="14" width="27.85546875" style="25" customWidth="1"/>
    <col min="15" max="16384" width="11.42578125" style="28"/>
  </cols>
  <sheetData>
    <row r="1" spans="1:15" ht="14.25" x14ac:dyDescent="0.2">
      <c r="A1" s="28">
        <v>0</v>
      </c>
      <c r="B1" s="128"/>
      <c r="C1" s="205"/>
      <c r="D1" s="129"/>
      <c r="E1" s="130"/>
      <c r="F1" s="131"/>
      <c r="G1" s="131"/>
      <c r="H1" s="131"/>
      <c r="I1" s="131"/>
      <c r="J1" s="131"/>
      <c r="K1" s="269"/>
      <c r="L1" s="131"/>
      <c r="M1" s="131"/>
      <c r="N1" s="132"/>
    </row>
    <row r="2" spans="1:15" ht="24" customHeight="1" x14ac:dyDescent="0.2">
      <c r="B2" s="133"/>
      <c r="C2" s="206"/>
      <c r="D2" s="77"/>
      <c r="E2" s="387" t="s">
        <v>299</v>
      </c>
      <c r="F2" s="387"/>
      <c r="G2" s="387"/>
      <c r="H2" s="387"/>
      <c r="I2" s="387"/>
      <c r="J2" s="387"/>
      <c r="K2" s="387"/>
      <c r="L2" s="134"/>
      <c r="M2" s="134"/>
      <c r="N2" s="135"/>
      <c r="O2" s="48"/>
    </row>
    <row r="3" spans="1:15" ht="14.25" x14ac:dyDescent="0.2">
      <c r="B3" s="133"/>
      <c r="C3" s="206"/>
      <c r="D3" s="77"/>
      <c r="E3" s="136"/>
      <c r="F3" s="134"/>
      <c r="G3" s="134"/>
      <c r="H3" s="134"/>
      <c r="I3" s="134"/>
      <c r="J3" s="134"/>
      <c r="K3" s="134"/>
      <c r="L3" s="134"/>
      <c r="M3" s="134"/>
      <c r="N3" s="135"/>
      <c r="O3" s="48"/>
    </row>
    <row r="4" spans="1:15" ht="14.25" x14ac:dyDescent="0.2">
      <c r="B4" s="133"/>
      <c r="C4" s="206"/>
      <c r="D4" s="77"/>
      <c r="E4" s="136"/>
      <c r="F4" s="134"/>
      <c r="G4" s="134"/>
      <c r="H4" s="134"/>
      <c r="I4" s="134"/>
      <c r="J4" s="134"/>
      <c r="K4" s="134"/>
      <c r="L4" s="134"/>
      <c r="M4" s="134"/>
      <c r="N4" s="135"/>
      <c r="O4" s="48"/>
    </row>
    <row r="5" spans="1:15" ht="20.25" x14ac:dyDescent="0.2">
      <c r="B5" s="137"/>
      <c r="C5" s="39"/>
      <c r="D5" s="77"/>
      <c r="E5" s="387" t="s">
        <v>301</v>
      </c>
      <c r="F5" s="387"/>
      <c r="G5" s="387"/>
      <c r="H5" s="387"/>
      <c r="I5" s="387"/>
      <c r="J5" s="387"/>
      <c r="K5" s="387"/>
      <c r="L5" s="389"/>
      <c r="M5" s="389"/>
      <c r="N5" s="390"/>
      <c r="O5" s="48"/>
    </row>
    <row r="6" spans="1:15" ht="36.75" customHeight="1" thickBot="1" x14ac:dyDescent="0.25">
      <c r="B6" s="138"/>
      <c r="C6" s="47"/>
      <c r="D6" s="422" t="s">
        <v>488</v>
      </c>
      <c r="E6" s="422"/>
      <c r="F6" s="422"/>
      <c r="G6" s="422"/>
      <c r="H6" s="422"/>
      <c r="I6" s="422"/>
      <c r="J6" s="422"/>
      <c r="K6" s="139"/>
      <c r="L6" s="139"/>
      <c r="M6" s="139"/>
      <c r="N6" s="140"/>
      <c r="O6" s="48"/>
    </row>
    <row r="7" spans="1:15" ht="30" customHeight="1" x14ac:dyDescent="0.2">
      <c r="B7" s="103" t="s">
        <v>292</v>
      </c>
      <c r="C7" s="207" t="s">
        <v>353</v>
      </c>
      <c r="D7" s="104" t="s">
        <v>14</v>
      </c>
      <c r="E7" s="104" t="s">
        <v>286</v>
      </c>
      <c r="F7" s="104" t="s">
        <v>287</v>
      </c>
      <c r="G7" s="104" t="s">
        <v>290</v>
      </c>
      <c r="H7" s="104" t="s">
        <v>291</v>
      </c>
      <c r="I7" s="105" t="s">
        <v>288</v>
      </c>
      <c r="J7" s="104" t="s">
        <v>304</v>
      </c>
      <c r="K7" s="104" t="s">
        <v>305</v>
      </c>
      <c r="L7" s="106" t="s">
        <v>289</v>
      </c>
      <c r="M7" s="106" t="s">
        <v>298</v>
      </c>
      <c r="N7" s="121" t="s">
        <v>297</v>
      </c>
      <c r="O7" s="48"/>
    </row>
    <row r="8" spans="1:15" s="84" customFormat="1" ht="30" customHeight="1" x14ac:dyDescent="0.2">
      <c r="A8" s="5" t="s">
        <v>28</v>
      </c>
      <c r="B8" s="202">
        <v>1</v>
      </c>
      <c r="C8" s="212" t="s">
        <v>353</v>
      </c>
      <c r="D8" s="203" t="s">
        <v>126</v>
      </c>
      <c r="E8" s="203" t="s">
        <v>80</v>
      </c>
      <c r="F8" s="204"/>
      <c r="G8" s="204">
        <v>15</v>
      </c>
      <c r="H8" s="196">
        <v>416</v>
      </c>
      <c r="I8" s="118">
        <f t="shared" ref="I8:I17" si="0">ROUND(G8*H8,2)</f>
        <v>6240</v>
      </c>
      <c r="J8" s="153">
        <f t="shared" ref="J8:J17" si="1">IFERROR(IF(ROUND((((I8/G8*30.4)-VLOOKUP((I8/G8*30.4),TARIFA,1))*VLOOKUP((I8/G8*30.4),TARIFA,3)+VLOOKUP((I8/G8*30.4),TARIFA,2)-VLOOKUP((I8/G8*30.4),SUBSIDIO,2))/30.4*G8,2)&lt;0,ROUND(-(((I8/G8*30.4)-VLOOKUP((I8/G8*30.4),TARIFA,1))*VLOOKUP((I8/G8*30.4),TARIFA,3)+VLOOKUP((I8/G8*30.4),TARIFA,2)-VLOOKUP((I8/G8*30.4),SUBSIDIO,2))/30.4*G8,2),0),0)</f>
        <v>0</v>
      </c>
      <c r="K8" s="118">
        <f t="shared" ref="K8:K17" si="2">IF(H8&lt;=248.93,0,(IFERROR(IF(ROUND((((I8/G8*30.4)-VLOOKUP((I8/G8*30.4),TARIFA,1))*VLOOKUP((I8/G8*30.4),TARIFA,3)+VLOOKUP((I8/G8*30.4),TARIFA,2)-VLOOKUP((I8/G8*30.4),SUBSIDIO,2))/30.4*G8,2)&gt;0,ROUND((((I8/G8*30.4)-VLOOKUP((I8/G8*30.4),TARIFA,1))*VLOOKUP((I8/G8*30.4),TARIFA,3)+VLOOKUP((I8/G8*30.4),TARIFA,2)-VLOOKUP((I8/G8*30.4),SUBSIDIO,2))/30.4*G8,2),0),0)))</f>
        <v>560.80999999999995</v>
      </c>
      <c r="L8" s="118">
        <f t="shared" ref="L8:L15" si="3">K8</f>
        <v>560.80999999999995</v>
      </c>
      <c r="M8" s="118">
        <f>I8+J8-L8</f>
        <v>5679.1900000000005</v>
      </c>
      <c r="N8" s="122"/>
      <c r="O8" s="85"/>
    </row>
    <row r="9" spans="1:15" s="315" customFormat="1" ht="30" customHeight="1" x14ac:dyDescent="0.2">
      <c r="A9" s="28"/>
      <c r="B9" s="202">
        <v>2</v>
      </c>
      <c r="C9" s="212" t="s">
        <v>353</v>
      </c>
      <c r="D9" s="203" t="s">
        <v>400</v>
      </c>
      <c r="E9" s="203" t="s">
        <v>41</v>
      </c>
      <c r="F9" s="74"/>
      <c r="G9" s="204">
        <v>15</v>
      </c>
      <c r="H9" s="196">
        <v>227.06639999999999</v>
      </c>
      <c r="I9" s="118">
        <f t="shared" ref="I9" si="4">ROUND(G9*H9,2)</f>
        <v>3406</v>
      </c>
      <c r="J9" s="153">
        <f t="shared" ref="J9" si="5">IFERROR(IF(ROUND((((I9/G9*30.4)-VLOOKUP((I9/G9*30.4),TARIFA,1))*VLOOKUP((I9/G9*30.4),TARIFA,3)+VLOOKUP((I9/G9*30.4),TARIFA,2)-VLOOKUP((I9/G9*30.4),SUBSIDIO,2))/30.4*G9,2)&lt;0,ROUND(-(((I9/G9*30.4)-VLOOKUP((I9/G9*30.4),TARIFA,1))*VLOOKUP((I9/G9*30.4),TARIFA,3)+VLOOKUP((I9/G9*30.4),TARIFA,2)-VLOOKUP((I9/G9*30.4),SUBSIDIO,2))/30.4*G9,2),0),0)</f>
        <v>0</v>
      </c>
      <c r="K9" s="153">
        <f t="shared" si="2"/>
        <v>0</v>
      </c>
      <c r="L9" s="153">
        <f t="shared" ref="L9" si="6">K9</f>
        <v>0</v>
      </c>
      <c r="M9" s="118">
        <f t="shared" ref="M9" si="7">I9+J9-L9</f>
        <v>3406</v>
      </c>
      <c r="N9" s="122"/>
      <c r="O9" s="85"/>
    </row>
    <row r="10" spans="1:15" s="315" customFormat="1" ht="30" customHeight="1" x14ac:dyDescent="0.2">
      <c r="A10" s="28"/>
      <c r="B10" s="202">
        <v>3</v>
      </c>
      <c r="C10" s="212"/>
      <c r="D10" s="203" t="s">
        <v>184</v>
      </c>
      <c r="E10" s="203" t="s">
        <v>85</v>
      </c>
      <c r="F10" s="74"/>
      <c r="G10" s="204">
        <v>15</v>
      </c>
      <c r="H10" s="196">
        <v>282.06639999999999</v>
      </c>
      <c r="I10" s="118">
        <f t="shared" si="0"/>
        <v>4231</v>
      </c>
      <c r="J10" s="153">
        <f t="shared" si="1"/>
        <v>0</v>
      </c>
      <c r="K10" s="118">
        <f t="shared" si="2"/>
        <v>303.87</v>
      </c>
      <c r="L10" s="118">
        <f t="shared" si="3"/>
        <v>303.87</v>
      </c>
      <c r="M10" s="118">
        <f t="shared" ref="M10:M17" si="8">I10+J10-L10</f>
        <v>3927.13</v>
      </c>
      <c r="N10" s="122"/>
      <c r="O10" s="85"/>
    </row>
    <row r="11" spans="1:15" s="315" customFormat="1" ht="30" customHeight="1" x14ac:dyDescent="0.2">
      <c r="A11" s="28"/>
      <c r="B11" s="202">
        <v>4</v>
      </c>
      <c r="C11" s="212" t="s">
        <v>353</v>
      </c>
      <c r="D11" s="203" t="s">
        <v>185</v>
      </c>
      <c r="E11" s="203" t="s">
        <v>54</v>
      </c>
      <c r="F11" s="74"/>
      <c r="G11" s="204">
        <v>15</v>
      </c>
      <c r="H11" s="196">
        <v>132.93299999999999</v>
      </c>
      <c r="I11" s="118">
        <f t="shared" si="0"/>
        <v>1994</v>
      </c>
      <c r="J11" s="118">
        <f t="shared" si="1"/>
        <v>77.59</v>
      </c>
      <c r="K11" s="153">
        <f t="shared" si="2"/>
        <v>0</v>
      </c>
      <c r="L11" s="153">
        <f t="shared" si="3"/>
        <v>0</v>
      </c>
      <c r="M11" s="118">
        <f t="shared" si="8"/>
        <v>2071.59</v>
      </c>
      <c r="N11" s="122"/>
      <c r="O11" s="85"/>
    </row>
    <row r="12" spans="1:15" s="84" customFormat="1" ht="30" customHeight="1" x14ac:dyDescent="0.2">
      <c r="A12" s="5"/>
      <c r="B12" s="202">
        <v>5</v>
      </c>
      <c r="C12" s="212" t="s">
        <v>353</v>
      </c>
      <c r="D12" s="203" t="s">
        <v>156</v>
      </c>
      <c r="E12" s="203" t="s">
        <v>41</v>
      </c>
      <c r="F12" s="74"/>
      <c r="G12" s="204">
        <v>15</v>
      </c>
      <c r="H12" s="196">
        <v>197.13300000000001</v>
      </c>
      <c r="I12" s="118">
        <f t="shared" si="0"/>
        <v>2957</v>
      </c>
      <c r="J12" s="153">
        <f t="shared" si="1"/>
        <v>0</v>
      </c>
      <c r="K12" s="153">
        <f t="shared" si="2"/>
        <v>0</v>
      </c>
      <c r="L12" s="153">
        <f t="shared" si="3"/>
        <v>0</v>
      </c>
      <c r="M12" s="118">
        <f t="shared" si="8"/>
        <v>2957</v>
      </c>
      <c r="N12" s="122"/>
      <c r="O12" s="85"/>
    </row>
    <row r="13" spans="1:15" s="84" customFormat="1" ht="30" customHeight="1" x14ac:dyDescent="0.2">
      <c r="A13" s="5"/>
      <c r="B13" s="202">
        <v>6</v>
      </c>
      <c r="C13" s="212" t="s">
        <v>353</v>
      </c>
      <c r="D13" s="203" t="s">
        <v>355</v>
      </c>
      <c r="E13" s="203" t="s">
        <v>356</v>
      </c>
      <c r="F13" s="74"/>
      <c r="G13" s="204">
        <v>15</v>
      </c>
      <c r="H13" s="196">
        <v>132.93299999999999</v>
      </c>
      <c r="I13" s="118">
        <f>ROUND(G13*H13,2)</f>
        <v>1994</v>
      </c>
      <c r="J13" s="153">
        <f>IFERROR(IF(ROUND((((I13/G13*30.4)-VLOOKUP((I13/G13*30.4),TARIFA,1))*VLOOKUP((I13/G13*30.4),TARIFA,3)+VLOOKUP((I13/G13*30.4),TARIFA,2)-VLOOKUP((I13/G13*30.4),SUBSIDIO,2))/30.4*G13,2)&lt;0,ROUND(-(((I13/G13*30.4)-VLOOKUP((I13/G13*30.4),TARIFA,1))*VLOOKUP((I13/G13*30.4),TARIFA,3)+VLOOKUP((I13/G13*30.4),TARIFA,2)-VLOOKUP((I13/G13*30.4),SUBSIDIO,2))/30.4*G13,2),0),0)</f>
        <v>77.59</v>
      </c>
      <c r="K13" s="153">
        <f t="shared" si="2"/>
        <v>0</v>
      </c>
      <c r="L13" s="153">
        <f>K13</f>
        <v>0</v>
      </c>
      <c r="M13" s="118">
        <f>I13+J13-L13</f>
        <v>2071.59</v>
      </c>
      <c r="N13" s="122"/>
      <c r="O13" s="85"/>
    </row>
    <row r="14" spans="1:15" s="84" customFormat="1" ht="30" customHeight="1" x14ac:dyDescent="0.2">
      <c r="A14" s="5"/>
      <c r="B14" s="202">
        <v>7</v>
      </c>
      <c r="C14" s="212" t="s">
        <v>353</v>
      </c>
      <c r="D14" s="203" t="s">
        <v>186</v>
      </c>
      <c r="E14" s="203" t="s">
        <v>42</v>
      </c>
      <c r="F14" s="74"/>
      <c r="G14" s="204">
        <v>15</v>
      </c>
      <c r="H14" s="196">
        <v>194.13300000000001</v>
      </c>
      <c r="I14" s="118">
        <f t="shared" si="0"/>
        <v>2912</v>
      </c>
      <c r="J14" s="153">
        <f t="shared" si="1"/>
        <v>0</v>
      </c>
      <c r="K14" s="153">
        <f t="shared" si="2"/>
        <v>0</v>
      </c>
      <c r="L14" s="153">
        <f t="shared" si="3"/>
        <v>0</v>
      </c>
      <c r="M14" s="118">
        <f t="shared" si="8"/>
        <v>2912</v>
      </c>
      <c r="N14" s="122"/>
      <c r="O14" s="85"/>
    </row>
    <row r="15" spans="1:15" s="84" customFormat="1" ht="30" customHeight="1" x14ac:dyDescent="0.2">
      <c r="A15" s="5"/>
      <c r="B15" s="202">
        <v>8</v>
      </c>
      <c r="C15" s="212" t="s">
        <v>353</v>
      </c>
      <c r="D15" s="203" t="s">
        <v>269</v>
      </c>
      <c r="E15" s="203" t="s">
        <v>42</v>
      </c>
      <c r="F15" s="74"/>
      <c r="G15" s="204">
        <v>15</v>
      </c>
      <c r="H15" s="196">
        <v>193</v>
      </c>
      <c r="I15" s="118">
        <f t="shared" si="0"/>
        <v>2895</v>
      </c>
      <c r="J15" s="153">
        <f t="shared" si="1"/>
        <v>0</v>
      </c>
      <c r="K15" s="153">
        <f t="shared" si="2"/>
        <v>0</v>
      </c>
      <c r="L15" s="153">
        <f t="shared" si="3"/>
        <v>0</v>
      </c>
      <c r="M15" s="118">
        <f t="shared" si="8"/>
        <v>2895</v>
      </c>
      <c r="N15" s="122"/>
      <c r="O15" s="85"/>
    </row>
    <row r="16" spans="1:15" s="315" customFormat="1" ht="41.1" customHeight="1" x14ac:dyDescent="0.2">
      <c r="A16" s="28"/>
      <c r="B16" s="202">
        <v>9</v>
      </c>
      <c r="C16" s="212"/>
      <c r="D16" s="203" t="s">
        <v>394</v>
      </c>
      <c r="E16" s="213" t="s">
        <v>276</v>
      </c>
      <c r="F16" s="74"/>
      <c r="G16" s="204">
        <v>15</v>
      </c>
      <c r="H16" s="196">
        <v>315.13299999999998</v>
      </c>
      <c r="I16" s="118">
        <f t="shared" si="0"/>
        <v>4727</v>
      </c>
      <c r="J16" s="153">
        <f t="shared" si="1"/>
        <v>0</v>
      </c>
      <c r="K16" s="118">
        <f t="shared" si="2"/>
        <v>357.83</v>
      </c>
      <c r="L16" s="118">
        <f>K16</f>
        <v>357.83</v>
      </c>
      <c r="M16" s="118">
        <f t="shared" si="8"/>
        <v>4369.17</v>
      </c>
      <c r="N16" s="122"/>
      <c r="O16" s="85"/>
    </row>
    <row r="17" spans="1:15" s="4" customFormat="1" ht="30" customHeight="1" x14ac:dyDescent="0.2">
      <c r="B17" s="202">
        <v>10</v>
      </c>
      <c r="C17" s="212" t="s">
        <v>353</v>
      </c>
      <c r="D17" s="203" t="s">
        <v>468</v>
      </c>
      <c r="E17" s="203" t="s">
        <v>465</v>
      </c>
      <c r="F17" s="74"/>
      <c r="G17" s="204">
        <v>15</v>
      </c>
      <c r="H17" s="196">
        <v>186.26650000000001</v>
      </c>
      <c r="I17" s="118">
        <f t="shared" si="0"/>
        <v>2794</v>
      </c>
      <c r="J17" s="153">
        <f t="shared" si="1"/>
        <v>0</v>
      </c>
      <c r="K17" s="153">
        <f t="shared" si="2"/>
        <v>0</v>
      </c>
      <c r="L17" s="153">
        <f t="shared" ref="L17" si="9">K17</f>
        <v>0</v>
      </c>
      <c r="M17" s="118">
        <f t="shared" si="8"/>
        <v>2794</v>
      </c>
      <c r="N17" s="122"/>
      <c r="O17" s="365"/>
    </row>
    <row r="18" spans="1:15" s="315" customFormat="1" ht="30" customHeight="1" x14ac:dyDescent="0.2">
      <c r="A18" s="28"/>
      <c r="B18" s="202"/>
      <c r="C18" s="212"/>
      <c r="D18" s="203"/>
      <c r="E18" s="214" t="s">
        <v>33</v>
      </c>
      <c r="F18" s="415"/>
      <c r="G18" s="416"/>
      <c r="H18" s="417"/>
      <c r="I18" s="119">
        <f>SUM(I8:I17)</f>
        <v>34150</v>
      </c>
      <c r="J18" s="119">
        <f t="shared" ref="J18:L18" si="10">SUM(J8:J17)</f>
        <v>155.18</v>
      </c>
      <c r="K18" s="119">
        <f t="shared" si="10"/>
        <v>1222.51</v>
      </c>
      <c r="L18" s="119">
        <f t="shared" si="10"/>
        <v>1222.51</v>
      </c>
      <c r="M18" s="119">
        <f>SUM(M8:M17)</f>
        <v>33082.67</v>
      </c>
      <c r="N18" s="123">
        <f t="shared" ref="N18" si="11">SUM(N8:N16)</f>
        <v>0</v>
      </c>
      <c r="O18" s="85"/>
    </row>
    <row r="19" spans="1:15" ht="30" customHeight="1" x14ac:dyDescent="0.2">
      <c r="B19" s="418" t="s">
        <v>88</v>
      </c>
      <c r="C19" s="419"/>
      <c r="D19" s="420"/>
      <c r="E19" s="420"/>
      <c r="F19" s="420"/>
      <c r="G19" s="420"/>
      <c r="H19" s="420"/>
      <c r="I19" s="420"/>
      <c r="J19" s="420"/>
      <c r="K19" s="420"/>
      <c r="L19" s="420"/>
      <c r="M19" s="420"/>
      <c r="N19" s="421"/>
      <c r="O19" s="48"/>
    </row>
    <row r="20" spans="1:15" ht="30" customHeight="1" x14ac:dyDescent="0.2">
      <c r="B20" s="202">
        <v>11</v>
      </c>
      <c r="C20" s="212"/>
      <c r="D20" s="203" t="s">
        <v>187</v>
      </c>
      <c r="E20" s="203" t="s">
        <v>89</v>
      </c>
      <c r="F20" s="74"/>
      <c r="G20" s="204">
        <v>15</v>
      </c>
      <c r="H20" s="215">
        <v>573.46640000000002</v>
      </c>
      <c r="I20" s="118">
        <f>ROUND(G20*H20,2)</f>
        <v>8602</v>
      </c>
      <c r="J20" s="153">
        <f>IFERROR(IF(ROUND((((I20/G20*30.4)-VLOOKUP((I20/G20*30.4),TARIFA,1))*VLOOKUP((I20/G20*30.4),TARIFA,3)+VLOOKUP((I20/G20*30.4),TARIFA,2)-VLOOKUP((I20/G20*30.4),SUBSIDIO,2))/30.4*G20,2)&lt;0,ROUND(-(((I20/G20*30.4)-VLOOKUP((I20/G20*30.4),TARIFA,1))*VLOOKUP((I20/G20*30.4),TARIFA,3)+VLOOKUP((I20/G20*30.4),TARIFA,2)-VLOOKUP((I20/G20*30.4),SUBSIDIO,2))/30.4*G20,2),0),0)</f>
        <v>0</v>
      </c>
      <c r="K20" s="118">
        <f>IF(H20&lt;=248.93,0,(IFERROR(IF(ROUND((((I20/G20*30.4)-VLOOKUP((I20/G20*30.4),TARIFA,1))*VLOOKUP((I20/G20*30.4),TARIFA,3)+VLOOKUP((I20/G20*30.4),TARIFA,2)-VLOOKUP((I20/G20*30.4),SUBSIDIO,2))/30.4*G20,2)&gt;0,ROUND((((I20/G20*30.4)-VLOOKUP((I20/G20*30.4),TARIFA,1))*VLOOKUP((I20/G20*30.4),TARIFA,3)+VLOOKUP((I20/G20*30.4),TARIFA,2)-VLOOKUP((I20/G20*30.4),SUBSIDIO,2))/30.4*G20,2),0),0)))</f>
        <v>1014.36</v>
      </c>
      <c r="L20" s="118">
        <f>K20</f>
        <v>1014.36</v>
      </c>
      <c r="M20" s="118">
        <f>I20+J20-L20</f>
        <v>7587.64</v>
      </c>
      <c r="N20" s="124"/>
      <c r="O20" s="48"/>
    </row>
    <row r="21" spans="1:15" ht="30" customHeight="1" x14ac:dyDescent="0.2">
      <c r="B21" s="202"/>
      <c r="C21" s="212"/>
      <c r="D21" s="203"/>
      <c r="E21" s="214" t="s">
        <v>33</v>
      </c>
      <c r="F21" s="415"/>
      <c r="G21" s="416"/>
      <c r="H21" s="417"/>
      <c r="I21" s="119">
        <f>+I20</f>
        <v>8602</v>
      </c>
      <c r="J21" s="154">
        <f t="shared" ref="J21:N21" si="12">+J20</f>
        <v>0</v>
      </c>
      <c r="K21" s="119">
        <f t="shared" si="12"/>
        <v>1014.36</v>
      </c>
      <c r="L21" s="119">
        <f t="shared" si="12"/>
        <v>1014.36</v>
      </c>
      <c r="M21" s="119">
        <f t="shared" si="12"/>
        <v>7587.64</v>
      </c>
      <c r="N21" s="123">
        <f t="shared" si="12"/>
        <v>0</v>
      </c>
      <c r="O21" s="48"/>
    </row>
    <row r="22" spans="1:15" s="315" customFormat="1" ht="30" customHeight="1" x14ac:dyDescent="0.2">
      <c r="A22" s="28"/>
      <c r="B22" s="418" t="s">
        <v>34</v>
      </c>
      <c r="C22" s="419"/>
      <c r="D22" s="420"/>
      <c r="E22" s="420"/>
      <c r="F22" s="420"/>
      <c r="G22" s="420"/>
      <c r="H22" s="420"/>
      <c r="I22" s="420"/>
      <c r="J22" s="420"/>
      <c r="K22" s="420"/>
      <c r="L22" s="420"/>
      <c r="M22" s="420"/>
      <c r="N22" s="421"/>
      <c r="O22" s="85"/>
    </row>
    <row r="23" spans="1:15" s="315" customFormat="1" ht="30" customHeight="1" x14ac:dyDescent="0.2">
      <c r="A23" s="28"/>
      <c r="B23" s="202">
        <v>12</v>
      </c>
      <c r="C23" s="212"/>
      <c r="D23" s="203" t="s">
        <v>188</v>
      </c>
      <c r="E23" s="203" t="s">
        <v>120</v>
      </c>
      <c r="F23" s="74"/>
      <c r="G23" s="204">
        <v>15</v>
      </c>
      <c r="H23" s="215">
        <v>281.93299999999999</v>
      </c>
      <c r="I23" s="118">
        <f>ROUND(G23*H23,2)</f>
        <v>4229</v>
      </c>
      <c r="J23" s="153">
        <f>IFERROR(IF(ROUND((((I23/G23*30.4)-VLOOKUP((I23/G23*30.4),TARIFA,1))*VLOOKUP((I23/G23*30.4),TARIFA,3)+VLOOKUP((I23/G23*30.4),TARIFA,2)-VLOOKUP((I23/G23*30.4),SUBSIDIO,2))/30.4*G23,2)&lt;0,ROUND(-(((I23/G23*30.4)-VLOOKUP((I23/G23*30.4),TARIFA,1))*VLOOKUP((I23/G23*30.4),TARIFA,3)+VLOOKUP((I23/G23*30.4),TARIFA,2)-VLOOKUP((I23/G23*30.4),SUBSIDIO,2))/30.4*G23,2),0),0)</f>
        <v>0</v>
      </c>
      <c r="K23" s="118">
        <f>IF(H23&lt;=248.93,0,(IFERROR(IF(ROUND((((I23/G23*30.4)-VLOOKUP((I23/G23*30.4),TARIFA,1))*VLOOKUP((I23/G23*30.4),TARIFA,3)+VLOOKUP((I23/G23*30.4),TARIFA,2)-VLOOKUP((I23/G23*30.4),SUBSIDIO,2))/30.4*G23,2)&gt;0,ROUND((((I23/G23*30.4)-VLOOKUP((I23/G23*30.4),TARIFA,1))*VLOOKUP((I23/G23*30.4),TARIFA,3)+VLOOKUP((I23/G23*30.4),TARIFA,2)-VLOOKUP((I23/G23*30.4),SUBSIDIO,2))/30.4*G23,2),0),0)))</f>
        <v>303.64999999999998</v>
      </c>
      <c r="L23" s="118">
        <f>K23</f>
        <v>303.64999999999998</v>
      </c>
      <c r="M23" s="118">
        <f>I23+J23-L23</f>
        <v>3925.35</v>
      </c>
      <c r="N23" s="122"/>
      <c r="O23" s="85"/>
    </row>
    <row r="24" spans="1:15" s="316" customFormat="1" ht="30" customHeight="1" x14ac:dyDescent="0.2">
      <c r="A24" s="26"/>
      <c r="B24" s="202">
        <v>13</v>
      </c>
      <c r="C24" s="212"/>
      <c r="D24" s="203" t="s">
        <v>189</v>
      </c>
      <c r="E24" s="203" t="s">
        <v>121</v>
      </c>
      <c r="F24" s="74"/>
      <c r="G24" s="204">
        <v>15</v>
      </c>
      <c r="H24" s="215">
        <v>281.93299999999999</v>
      </c>
      <c r="I24" s="118">
        <f>ROUND(G24*H24,2)</f>
        <v>4229</v>
      </c>
      <c r="J24" s="153">
        <f>IFERROR(IF(ROUND((((I24/G24*30.4)-VLOOKUP((I24/G24*30.4),TARIFA,1))*VLOOKUP((I24/G24*30.4),TARIFA,3)+VLOOKUP((I24/G24*30.4),TARIFA,2)-VLOOKUP((I24/G24*30.4),SUBSIDIO,2))/30.4*G24,2)&lt;0,ROUND(-(((I24/G24*30.4)-VLOOKUP((I24/G24*30.4),TARIFA,1))*VLOOKUP((I24/G24*30.4),TARIFA,3)+VLOOKUP((I24/G24*30.4),TARIFA,2)-VLOOKUP((I24/G24*30.4),SUBSIDIO,2))/30.4*G24,2),0),0)</f>
        <v>0</v>
      </c>
      <c r="K24" s="118">
        <f>IF(H24&lt;=248.93,0,(IFERROR(IF(ROUND((((I24/G24*30.4)-VLOOKUP((I24/G24*30.4),TARIFA,1))*VLOOKUP((I24/G24*30.4),TARIFA,3)+VLOOKUP((I24/G24*30.4),TARIFA,2)-VLOOKUP((I24/G24*30.4),SUBSIDIO,2))/30.4*G24,2)&gt;0,ROUND((((I24/G24*30.4)-VLOOKUP((I24/G24*30.4),TARIFA,1))*VLOOKUP((I24/G24*30.4),TARIFA,3)+VLOOKUP((I24/G24*30.4),TARIFA,2)-VLOOKUP((I24/G24*30.4),SUBSIDIO,2))/30.4*G24,2),0),0)))</f>
        <v>303.64999999999998</v>
      </c>
      <c r="L24" s="118">
        <f>K24</f>
        <v>303.64999999999998</v>
      </c>
      <c r="M24" s="118">
        <f>I24+J24-L24</f>
        <v>3925.35</v>
      </c>
      <c r="N24" s="122"/>
      <c r="O24" s="86"/>
    </row>
    <row r="25" spans="1:15" s="316" customFormat="1" ht="30" customHeight="1" x14ac:dyDescent="0.2">
      <c r="A25" s="26"/>
      <c r="B25" s="202">
        <v>14</v>
      </c>
      <c r="C25" s="212"/>
      <c r="D25" s="203" t="s">
        <v>277</v>
      </c>
      <c r="E25" s="203" t="s">
        <v>151</v>
      </c>
      <c r="F25" s="75"/>
      <c r="G25" s="204">
        <v>15</v>
      </c>
      <c r="H25" s="215">
        <v>315.13299999999998</v>
      </c>
      <c r="I25" s="118">
        <f>ROUND(G25*H25,2)</f>
        <v>4727</v>
      </c>
      <c r="J25" s="153">
        <f>IFERROR(IF(ROUND((((I25/G25*30.4)-VLOOKUP((I25/G25*30.4),TARIFA,1))*VLOOKUP((I25/G25*30.4),TARIFA,3)+VLOOKUP((I25/G25*30.4),TARIFA,2)-VLOOKUP((I25/G25*30.4),SUBSIDIO,2))/30.4*G25,2)&lt;0,ROUND(-(((I25/G25*30.4)-VLOOKUP((I25/G25*30.4),TARIFA,1))*VLOOKUP((I25/G25*30.4),TARIFA,3)+VLOOKUP((I25/G25*30.4),TARIFA,2)-VLOOKUP((I25/G25*30.4),SUBSIDIO,2))/30.4*G25,2),0),0)</f>
        <v>0</v>
      </c>
      <c r="K25" s="118">
        <f>IF(H25&lt;=248.93,0,(IFERROR(IF(ROUND((((I25/G25*30.4)-VLOOKUP((I25/G25*30.4),TARIFA,1))*VLOOKUP((I25/G25*30.4),TARIFA,3)+VLOOKUP((I25/G25*30.4),TARIFA,2)-VLOOKUP((I25/G25*30.4),SUBSIDIO,2))/30.4*G25,2)&gt;0,ROUND((((I25/G25*30.4)-VLOOKUP((I25/G25*30.4),TARIFA,1))*VLOOKUP((I25/G25*30.4),TARIFA,3)+VLOOKUP((I25/G25*30.4),TARIFA,2)-VLOOKUP((I25/G25*30.4),SUBSIDIO,2))/30.4*G25,2),0),0)))</f>
        <v>357.83</v>
      </c>
      <c r="L25" s="118">
        <f>K25</f>
        <v>357.83</v>
      </c>
      <c r="M25" s="118">
        <f>I25+J25-L25</f>
        <v>4369.17</v>
      </c>
      <c r="N25" s="122"/>
      <c r="O25" s="86"/>
    </row>
    <row r="26" spans="1:15" s="316" customFormat="1" ht="30" customHeight="1" x14ac:dyDescent="0.2">
      <c r="A26" s="26"/>
      <c r="B26" s="202">
        <v>15</v>
      </c>
      <c r="C26" s="212"/>
      <c r="D26" s="203" t="s">
        <v>360</v>
      </c>
      <c r="E26" s="203" t="s">
        <v>42</v>
      </c>
      <c r="F26" s="75"/>
      <c r="G26" s="204">
        <v>15</v>
      </c>
      <c r="H26" s="215">
        <v>281.93299999999999</v>
      </c>
      <c r="I26" s="118">
        <f>ROUND(G26*H26,2)</f>
        <v>4229</v>
      </c>
      <c r="J26" s="153">
        <f>IFERROR(IF(ROUND((((I26/G26*30.4)-VLOOKUP((I26/G26*30.4),TARIFA,1))*VLOOKUP((I26/G26*30.4),TARIFA,3)+VLOOKUP((I26/G26*30.4),TARIFA,2)-VLOOKUP((I26/G26*30.4),SUBSIDIO,2))/30.4*G26,2)&lt;0,ROUND(-(((I26/G26*30.4)-VLOOKUP((I26/G26*30.4),TARIFA,1))*VLOOKUP((I26/G26*30.4),TARIFA,3)+VLOOKUP((I26/G26*30.4),TARIFA,2)-VLOOKUP((I26/G26*30.4),SUBSIDIO,2))/30.4*G26,2),0),0)</f>
        <v>0</v>
      </c>
      <c r="K26" s="118">
        <f>IF(H26&lt;=248.93,0,(IFERROR(IF(ROUND((((I26/G26*30.4)-VLOOKUP((I26/G26*30.4),TARIFA,1))*VLOOKUP((I26/G26*30.4),TARIFA,3)+VLOOKUP((I26/G26*30.4),TARIFA,2)-VLOOKUP((I26/G26*30.4),SUBSIDIO,2))/30.4*G26,2)&gt;0,ROUND((((I26/G26*30.4)-VLOOKUP((I26/G26*30.4),TARIFA,1))*VLOOKUP((I26/G26*30.4),TARIFA,3)+VLOOKUP((I26/G26*30.4),TARIFA,2)-VLOOKUP((I26/G26*30.4),SUBSIDIO,2))/30.4*G26,2),0),0)))</f>
        <v>303.64999999999998</v>
      </c>
      <c r="L26" s="118">
        <f>K26</f>
        <v>303.64999999999998</v>
      </c>
      <c r="M26" s="118">
        <f>I26+J26-L26</f>
        <v>3925.35</v>
      </c>
      <c r="N26" s="122"/>
      <c r="O26" s="86"/>
    </row>
    <row r="27" spans="1:15" s="315" customFormat="1" ht="30" customHeight="1" x14ac:dyDescent="0.2">
      <c r="A27" s="28"/>
      <c r="B27" s="216"/>
      <c r="C27" s="217"/>
      <c r="D27" s="218"/>
      <c r="E27" s="214" t="s">
        <v>33</v>
      </c>
      <c r="F27" s="415"/>
      <c r="G27" s="416"/>
      <c r="H27" s="417"/>
      <c r="I27" s="119">
        <f>SUM(I23:I26)</f>
        <v>17414</v>
      </c>
      <c r="J27" s="154">
        <f>SUM(J23:J26)</f>
        <v>0</v>
      </c>
      <c r="K27" s="119">
        <f>SUM(K23:K26)</f>
        <v>1268.7799999999997</v>
      </c>
      <c r="L27" s="119">
        <f>SUM(L23:L26)</f>
        <v>1268.7799999999997</v>
      </c>
      <c r="M27" s="119">
        <f>SUM(M23:M26)</f>
        <v>16145.22</v>
      </c>
      <c r="N27" s="123">
        <f>SUM(N23:N25)</f>
        <v>0</v>
      </c>
      <c r="O27" s="85"/>
    </row>
    <row r="28" spans="1:15" ht="30" customHeight="1" x14ac:dyDescent="0.2">
      <c r="B28" s="418" t="s">
        <v>36</v>
      </c>
      <c r="C28" s="419"/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1"/>
      <c r="O28" s="48"/>
    </row>
    <row r="29" spans="1:15" ht="30" customHeight="1" x14ac:dyDescent="0.2">
      <c r="B29" s="202">
        <v>16</v>
      </c>
      <c r="C29" s="212"/>
      <c r="D29" s="203" t="s">
        <v>190</v>
      </c>
      <c r="E29" s="203" t="s">
        <v>61</v>
      </c>
      <c r="F29" s="74"/>
      <c r="G29" s="204">
        <v>15</v>
      </c>
      <c r="H29" s="196">
        <v>295.733</v>
      </c>
      <c r="I29" s="118">
        <f t="shared" ref="I29:I33" si="13">ROUND(G29*H29,2)</f>
        <v>4436</v>
      </c>
      <c r="J29" s="153">
        <f t="shared" ref="J29:J33" si="14">IFERROR(IF(ROUND((((I29/G29*30.4)-VLOOKUP((I29/G29*30.4),TARIFA,1))*VLOOKUP((I29/G29*30.4),TARIFA,3)+VLOOKUP((I29/G29*30.4),TARIFA,2)-VLOOKUP((I29/G29*30.4),SUBSIDIO,2))/30.4*G29,2)&lt;0,ROUND(-(((I29/G29*30.4)-VLOOKUP((I29/G29*30.4),TARIFA,1))*VLOOKUP((I29/G29*30.4),TARIFA,3)+VLOOKUP((I29/G29*30.4),TARIFA,2)-VLOOKUP((I29/G29*30.4),SUBSIDIO,2))/30.4*G29,2),0),0)</f>
        <v>0</v>
      </c>
      <c r="K29" s="118">
        <f t="shared" ref="K29:K34" si="15">IF(H29&lt;=248.93,0,(IFERROR(IF(ROUND((((I29/G29*30.4)-VLOOKUP((I29/G29*30.4),TARIFA,1))*VLOOKUP((I29/G29*30.4),TARIFA,3)+VLOOKUP((I29/G29*30.4),TARIFA,2)-VLOOKUP((I29/G29*30.4),SUBSIDIO,2))/30.4*G29,2)&gt;0,ROUND((((I29/G29*30.4)-VLOOKUP((I29/G29*30.4),TARIFA,1))*VLOOKUP((I29/G29*30.4),TARIFA,3)+VLOOKUP((I29/G29*30.4),TARIFA,2)-VLOOKUP((I29/G29*30.4),SUBSIDIO,2))/30.4*G29,2),0),0)))</f>
        <v>326.17</v>
      </c>
      <c r="L29" s="118">
        <f t="shared" ref="L29:L34" si="16">K29</f>
        <v>326.17</v>
      </c>
      <c r="M29" s="118">
        <f t="shared" ref="M29:M32" si="17">I29+J29-L29</f>
        <v>4109.83</v>
      </c>
      <c r="N29" s="122"/>
      <c r="O29" s="48"/>
    </row>
    <row r="30" spans="1:15" ht="30" customHeight="1" x14ac:dyDescent="0.2">
      <c r="B30" s="202">
        <v>17</v>
      </c>
      <c r="C30" s="212"/>
      <c r="D30" s="203" t="s">
        <v>191</v>
      </c>
      <c r="E30" s="203" t="s">
        <v>102</v>
      </c>
      <c r="F30" s="74"/>
      <c r="G30" s="204">
        <v>15</v>
      </c>
      <c r="H30" s="196">
        <v>197.2</v>
      </c>
      <c r="I30" s="118">
        <f t="shared" si="13"/>
        <v>2958</v>
      </c>
      <c r="J30" s="153">
        <f t="shared" si="14"/>
        <v>0</v>
      </c>
      <c r="K30" s="153">
        <f t="shared" si="15"/>
        <v>0</v>
      </c>
      <c r="L30" s="153">
        <f t="shared" si="16"/>
        <v>0</v>
      </c>
      <c r="M30" s="118">
        <f t="shared" si="17"/>
        <v>2958</v>
      </c>
      <c r="N30" s="122"/>
      <c r="O30" s="48"/>
    </row>
    <row r="31" spans="1:15" ht="30" customHeight="1" x14ac:dyDescent="0.2">
      <c r="B31" s="202">
        <v>18</v>
      </c>
      <c r="C31" s="212" t="s">
        <v>353</v>
      </c>
      <c r="D31" s="203" t="s">
        <v>192</v>
      </c>
      <c r="E31" s="203" t="s">
        <v>54</v>
      </c>
      <c r="F31" s="204"/>
      <c r="G31" s="204">
        <v>15</v>
      </c>
      <c r="H31" s="196">
        <v>104</v>
      </c>
      <c r="I31" s="118">
        <f t="shared" si="13"/>
        <v>1560</v>
      </c>
      <c r="J31" s="118">
        <f t="shared" si="14"/>
        <v>117.29</v>
      </c>
      <c r="K31" s="153">
        <f t="shared" si="15"/>
        <v>0</v>
      </c>
      <c r="L31" s="153">
        <f t="shared" si="16"/>
        <v>0</v>
      </c>
      <c r="M31" s="118">
        <f t="shared" si="17"/>
        <v>1677.29</v>
      </c>
      <c r="N31" s="122"/>
      <c r="O31" s="48"/>
    </row>
    <row r="32" spans="1:15" ht="30" customHeight="1" x14ac:dyDescent="0.2">
      <c r="B32" s="202">
        <v>19</v>
      </c>
      <c r="C32" s="212"/>
      <c r="D32" s="203" t="s">
        <v>193</v>
      </c>
      <c r="E32" s="203" t="s">
        <v>42</v>
      </c>
      <c r="F32" s="74"/>
      <c r="G32" s="204">
        <v>15</v>
      </c>
      <c r="H32" s="196">
        <v>150.19399999999999</v>
      </c>
      <c r="I32" s="118">
        <f t="shared" si="13"/>
        <v>2252.91</v>
      </c>
      <c r="J32" s="118">
        <f t="shared" si="14"/>
        <v>47.09</v>
      </c>
      <c r="K32" s="153">
        <f t="shared" si="15"/>
        <v>0</v>
      </c>
      <c r="L32" s="153">
        <f t="shared" si="16"/>
        <v>0</v>
      </c>
      <c r="M32" s="118">
        <f t="shared" si="17"/>
        <v>2300</v>
      </c>
      <c r="N32" s="122"/>
      <c r="O32" s="48"/>
    </row>
    <row r="33" spans="2:15" ht="30" customHeight="1" x14ac:dyDescent="0.2">
      <c r="B33" s="202">
        <v>20</v>
      </c>
      <c r="C33" s="212" t="s">
        <v>353</v>
      </c>
      <c r="D33" s="203" t="s">
        <v>273</v>
      </c>
      <c r="E33" s="203" t="s">
        <v>274</v>
      </c>
      <c r="F33" s="74"/>
      <c r="G33" s="204">
        <v>15</v>
      </c>
      <c r="H33" s="196">
        <v>466.33300000000003</v>
      </c>
      <c r="I33" s="118">
        <f t="shared" si="13"/>
        <v>6995</v>
      </c>
      <c r="J33" s="153">
        <f t="shared" si="14"/>
        <v>0</v>
      </c>
      <c r="K33" s="118">
        <f t="shared" si="15"/>
        <v>693.36</v>
      </c>
      <c r="L33" s="118">
        <f t="shared" si="16"/>
        <v>693.36</v>
      </c>
      <c r="M33" s="118">
        <f>I33+J33-L33</f>
        <v>6301.64</v>
      </c>
      <c r="N33" s="122"/>
      <c r="O33" s="48"/>
    </row>
    <row r="34" spans="2:15" ht="30" customHeight="1" x14ac:dyDescent="0.2">
      <c r="B34" s="202">
        <v>21</v>
      </c>
      <c r="C34" s="212" t="s">
        <v>353</v>
      </c>
      <c r="D34" s="203" t="s">
        <v>477</v>
      </c>
      <c r="E34" s="203" t="s">
        <v>42</v>
      </c>
      <c r="F34" s="74"/>
      <c r="G34" s="204">
        <v>15</v>
      </c>
      <c r="H34" s="196">
        <v>223.333</v>
      </c>
      <c r="I34" s="118">
        <f t="shared" ref="I34" si="18">ROUND(G34*H34,2)</f>
        <v>3350</v>
      </c>
      <c r="J34" s="153">
        <f t="shared" ref="J34" si="19">IFERROR(IF(ROUND((((I34/G34*30.4)-VLOOKUP((I34/G34*30.4),TARIFA,1))*VLOOKUP((I34/G34*30.4),TARIFA,3)+VLOOKUP((I34/G34*30.4),TARIFA,2)-VLOOKUP((I34/G34*30.4),SUBSIDIO,2))/30.4*G34,2)&lt;0,ROUND(-(((I34/G34*30.4)-VLOOKUP((I34/G34*30.4),TARIFA,1))*VLOOKUP((I34/G34*30.4),TARIFA,3)+VLOOKUP((I34/G34*30.4),TARIFA,2)-VLOOKUP((I34/G34*30.4),SUBSIDIO,2))/30.4*G34,2),0),0)</f>
        <v>0</v>
      </c>
      <c r="K34" s="153">
        <f t="shared" si="15"/>
        <v>0</v>
      </c>
      <c r="L34" s="153">
        <f t="shared" si="16"/>
        <v>0</v>
      </c>
      <c r="M34" s="118">
        <f>I34+J34-L34</f>
        <v>3350</v>
      </c>
      <c r="N34" s="122"/>
      <c r="O34" s="48"/>
    </row>
    <row r="35" spans="2:15" ht="30" customHeight="1" x14ac:dyDescent="0.2">
      <c r="B35" s="202"/>
      <c r="C35" s="212"/>
      <c r="D35" s="203"/>
      <c r="E35" s="214" t="s">
        <v>33</v>
      </c>
      <c r="F35" s="415"/>
      <c r="G35" s="416"/>
      <c r="H35" s="417"/>
      <c r="I35" s="119">
        <f>SUM(I29:I34)</f>
        <v>21551.91</v>
      </c>
      <c r="J35" s="119">
        <f t="shared" ref="J35:M35" si="20">SUM(J29:J34)</f>
        <v>164.38</v>
      </c>
      <c r="K35" s="119">
        <f t="shared" si="20"/>
        <v>1019.53</v>
      </c>
      <c r="L35" s="119">
        <f t="shared" si="20"/>
        <v>1019.53</v>
      </c>
      <c r="M35" s="119">
        <f t="shared" si="20"/>
        <v>20696.759999999998</v>
      </c>
      <c r="N35" s="123">
        <f t="shared" ref="N35" si="21">SUM(N29:N33)</f>
        <v>0</v>
      </c>
      <c r="O35" s="48"/>
    </row>
    <row r="36" spans="2:15" ht="30" customHeight="1" x14ac:dyDescent="0.2">
      <c r="B36" s="418" t="s">
        <v>39</v>
      </c>
      <c r="C36" s="419"/>
      <c r="D36" s="420"/>
      <c r="E36" s="420"/>
      <c r="F36" s="420"/>
      <c r="G36" s="420"/>
      <c r="H36" s="420"/>
      <c r="I36" s="420"/>
      <c r="J36" s="420"/>
      <c r="K36" s="420"/>
      <c r="L36" s="420"/>
      <c r="M36" s="420"/>
      <c r="N36" s="421"/>
      <c r="O36" s="48"/>
    </row>
    <row r="37" spans="2:15" ht="30" customHeight="1" x14ac:dyDescent="0.2">
      <c r="B37" s="202">
        <v>22</v>
      </c>
      <c r="C37" s="212"/>
      <c r="D37" s="203" t="s">
        <v>395</v>
      </c>
      <c r="E37" s="203" t="s">
        <v>42</v>
      </c>
      <c r="F37" s="204"/>
      <c r="G37" s="204">
        <v>15</v>
      </c>
      <c r="H37" s="196">
        <v>104</v>
      </c>
      <c r="I37" s="118">
        <f t="shared" ref="I37:I41" si="22">ROUND(G37*H37,2)</f>
        <v>1560</v>
      </c>
      <c r="J37" s="118">
        <f t="shared" ref="J37:J41" si="23">IFERROR(IF(ROUND((((I37/G37*30.4)-VLOOKUP((I37/G37*30.4),TARIFA,1))*VLOOKUP((I37/G37*30.4),TARIFA,3)+VLOOKUP((I37/G37*30.4),TARIFA,2)-VLOOKUP((I37/G37*30.4),SUBSIDIO,2))/30.4*G37,2)&lt;0,ROUND(-(((I37/G37*30.4)-VLOOKUP((I37/G37*30.4),TARIFA,1))*VLOOKUP((I37/G37*30.4),TARIFA,3)+VLOOKUP((I37/G37*30.4),TARIFA,2)-VLOOKUP((I37/G37*30.4),SUBSIDIO,2))/30.4*G37,2),0),0)</f>
        <v>117.29</v>
      </c>
      <c r="K37" s="153">
        <f t="shared" ref="K37:K41" si="24">IF(H37&lt;=248.93,0,(IFERROR(IF(ROUND((((I37/G37*30.4)-VLOOKUP((I37/G37*30.4),TARIFA,1))*VLOOKUP((I37/G37*30.4),TARIFA,3)+VLOOKUP((I37/G37*30.4),TARIFA,2)-VLOOKUP((I37/G37*30.4),SUBSIDIO,2))/30.4*G37,2)&gt;0,ROUND((((I37/G37*30.4)-VLOOKUP((I37/G37*30.4),TARIFA,1))*VLOOKUP((I37/G37*30.4),TARIFA,3)+VLOOKUP((I37/G37*30.4),TARIFA,2)-VLOOKUP((I37/G37*30.4),SUBSIDIO,2))/30.4*G37,2),0),0)))</f>
        <v>0</v>
      </c>
      <c r="L37" s="153">
        <f t="shared" ref="L37:L41" si="25">K37</f>
        <v>0</v>
      </c>
      <c r="M37" s="118">
        <f t="shared" ref="M37:M41" si="26">I37+J37-L37</f>
        <v>1677.29</v>
      </c>
      <c r="N37" s="122"/>
      <c r="O37" s="48"/>
    </row>
    <row r="38" spans="2:15" ht="30" customHeight="1" x14ac:dyDescent="0.2">
      <c r="B38" s="202">
        <v>23</v>
      </c>
      <c r="C38" s="212" t="s">
        <v>353</v>
      </c>
      <c r="D38" s="203" t="s">
        <v>194</v>
      </c>
      <c r="E38" s="203" t="s">
        <v>42</v>
      </c>
      <c r="F38" s="74"/>
      <c r="G38" s="204">
        <v>15</v>
      </c>
      <c r="H38" s="196">
        <v>124.8</v>
      </c>
      <c r="I38" s="118">
        <f t="shared" si="22"/>
        <v>1872</v>
      </c>
      <c r="J38" s="118">
        <f t="shared" si="23"/>
        <v>85.4</v>
      </c>
      <c r="K38" s="153">
        <f t="shared" si="24"/>
        <v>0</v>
      </c>
      <c r="L38" s="153">
        <f t="shared" si="25"/>
        <v>0</v>
      </c>
      <c r="M38" s="118">
        <f t="shared" si="26"/>
        <v>1957.4</v>
      </c>
      <c r="N38" s="122"/>
      <c r="O38" s="48"/>
    </row>
    <row r="39" spans="2:15" ht="30" customHeight="1" x14ac:dyDescent="0.2">
      <c r="B39" s="202">
        <v>24</v>
      </c>
      <c r="C39" s="212"/>
      <c r="D39" s="203" t="s">
        <v>195</v>
      </c>
      <c r="E39" s="203" t="s">
        <v>54</v>
      </c>
      <c r="F39" s="74"/>
      <c r="G39" s="204">
        <v>15</v>
      </c>
      <c r="H39" s="196">
        <v>151.46639999999999</v>
      </c>
      <c r="I39" s="118">
        <f t="shared" si="22"/>
        <v>2272</v>
      </c>
      <c r="J39" s="118">
        <f t="shared" si="23"/>
        <v>45.87</v>
      </c>
      <c r="K39" s="153">
        <f t="shared" si="24"/>
        <v>0</v>
      </c>
      <c r="L39" s="153">
        <f t="shared" si="25"/>
        <v>0</v>
      </c>
      <c r="M39" s="118">
        <f t="shared" si="26"/>
        <v>2317.87</v>
      </c>
      <c r="N39" s="122"/>
      <c r="O39" s="48"/>
    </row>
    <row r="40" spans="2:15" ht="30" customHeight="1" x14ac:dyDescent="0.2">
      <c r="B40" s="202">
        <v>25</v>
      </c>
      <c r="C40" s="212"/>
      <c r="D40" s="203" t="s">
        <v>282</v>
      </c>
      <c r="E40" s="203" t="s">
        <v>283</v>
      </c>
      <c r="F40" s="204"/>
      <c r="G40" s="204">
        <v>15</v>
      </c>
      <c r="H40" s="196">
        <v>169.815</v>
      </c>
      <c r="I40" s="118">
        <f t="shared" si="22"/>
        <v>2547.23</v>
      </c>
      <c r="J40" s="118">
        <f t="shared" si="23"/>
        <v>13.77</v>
      </c>
      <c r="K40" s="153">
        <f t="shared" si="24"/>
        <v>0</v>
      </c>
      <c r="L40" s="153">
        <f t="shared" si="25"/>
        <v>0</v>
      </c>
      <c r="M40" s="118">
        <f t="shared" si="26"/>
        <v>2561</v>
      </c>
      <c r="N40" s="122"/>
      <c r="O40" s="48"/>
    </row>
    <row r="41" spans="2:15" ht="30" customHeight="1" x14ac:dyDescent="0.2">
      <c r="B41" s="202">
        <v>26</v>
      </c>
      <c r="C41" s="212" t="s">
        <v>353</v>
      </c>
      <c r="D41" s="203" t="s">
        <v>466</v>
      </c>
      <c r="E41" s="203" t="s">
        <v>283</v>
      </c>
      <c r="F41" s="204"/>
      <c r="G41" s="204">
        <v>15</v>
      </c>
      <c r="H41" s="196">
        <v>186.26650000000001</v>
      </c>
      <c r="I41" s="118">
        <f t="shared" si="22"/>
        <v>2794</v>
      </c>
      <c r="J41" s="153">
        <f t="shared" si="23"/>
        <v>0</v>
      </c>
      <c r="K41" s="153">
        <f t="shared" si="24"/>
        <v>0</v>
      </c>
      <c r="L41" s="153">
        <f t="shared" si="25"/>
        <v>0</v>
      </c>
      <c r="M41" s="118">
        <f t="shared" si="26"/>
        <v>2794</v>
      </c>
      <c r="N41" s="122"/>
      <c r="O41" s="48"/>
    </row>
    <row r="42" spans="2:15" ht="30" customHeight="1" x14ac:dyDescent="0.2">
      <c r="B42" s="202">
        <v>27</v>
      </c>
      <c r="C42" s="212" t="s">
        <v>353</v>
      </c>
      <c r="D42" s="203" t="s">
        <v>478</v>
      </c>
      <c r="E42" s="203" t="s">
        <v>283</v>
      </c>
      <c r="F42" s="204"/>
      <c r="G42" s="204">
        <v>15</v>
      </c>
      <c r="H42" s="196">
        <v>180</v>
      </c>
      <c r="I42" s="118">
        <f t="shared" ref="I42" si="27">ROUND(G42*H42,2)</f>
        <v>2700</v>
      </c>
      <c r="J42" s="153">
        <f t="shared" ref="J42" si="28">IFERROR(IF(ROUND((((I42/G42*30.4)-VLOOKUP((I42/G42*30.4),TARIFA,1))*VLOOKUP((I42/G42*30.4),TARIFA,3)+VLOOKUP((I42/G42*30.4),TARIFA,2)-VLOOKUP((I42/G42*30.4),SUBSIDIO,2))/30.4*G42,2)&lt;0,ROUND(-(((I42/G42*30.4)-VLOOKUP((I42/G42*30.4),TARIFA,1))*VLOOKUP((I42/G42*30.4),TARIFA,3)+VLOOKUP((I42/G42*30.4),TARIFA,2)-VLOOKUP((I42/G42*30.4),SUBSIDIO,2))/30.4*G42,2),0),0)</f>
        <v>0</v>
      </c>
      <c r="K42" s="153">
        <f t="shared" ref="K42" si="29">IF(H42&lt;=248.93,0,(IFERROR(IF(ROUND((((I42/G42*30.4)-VLOOKUP((I42/G42*30.4),TARIFA,1))*VLOOKUP((I42/G42*30.4),TARIFA,3)+VLOOKUP((I42/G42*30.4),TARIFA,2)-VLOOKUP((I42/G42*30.4),SUBSIDIO,2))/30.4*G42,2)&gt;0,ROUND((((I42/G42*30.4)-VLOOKUP((I42/G42*30.4),TARIFA,1))*VLOOKUP((I42/G42*30.4),TARIFA,3)+VLOOKUP((I42/G42*30.4),TARIFA,2)-VLOOKUP((I42/G42*30.4),SUBSIDIO,2))/30.4*G42,2),0),0)))</f>
        <v>0</v>
      </c>
      <c r="L42" s="153">
        <f t="shared" ref="L42" si="30">K42</f>
        <v>0</v>
      </c>
      <c r="M42" s="118">
        <f t="shared" ref="M42" si="31">I42+J42-L42</f>
        <v>2700</v>
      </c>
      <c r="N42" s="122"/>
      <c r="O42" s="48"/>
    </row>
    <row r="43" spans="2:15" ht="30" customHeight="1" x14ac:dyDescent="0.2">
      <c r="B43" s="202"/>
      <c r="C43" s="212"/>
      <c r="D43" s="203"/>
      <c r="E43" s="214" t="s">
        <v>33</v>
      </c>
      <c r="F43" s="415"/>
      <c r="G43" s="416"/>
      <c r="H43" s="417"/>
      <c r="I43" s="119">
        <f>SUM(I37:I42)</f>
        <v>13745.23</v>
      </c>
      <c r="J43" s="119">
        <f>SUM(J37:J42)</f>
        <v>262.33</v>
      </c>
      <c r="K43" s="154">
        <f>SUM(K37:K42)</f>
        <v>0</v>
      </c>
      <c r="L43" s="154">
        <f>SUM(L37:L42)</f>
        <v>0</v>
      </c>
      <c r="M43" s="119">
        <f>SUM(M37:M42)</f>
        <v>14007.56</v>
      </c>
      <c r="N43" s="123">
        <f>SUM(N37:N40)</f>
        <v>0</v>
      </c>
      <c r="O43" s="48"/>
    </row>
    <row r="44" spans="2:15" ht="30" customHeight="1" x14ac:dyDescent="0.2">
      <c r="B44" s="418" t="s">
        <v>43</v>
      </c>
      <c r="C44" s="419"/>
      <c r="D44" s="420"/>
      <c r="E44" s="420"/>
      <c r="F44" s="420"/>
      <c r="G44" s="420"/>
      <c r="H44" s="420"/>
      <c r="I44" s="420"/>
      <c r="J44" s="420"/>
      <c r="K44" s="420"/>
      <c r="L44" s="420"/>
      <c r="M44" s="420"/>
      <c r="N44" s="421"/>
      <c r="O44" s="48"/>
    </row>
    <row r="45" spans="2:15" ht="30" customHeight="1" x14ac:dyDescent="0.2">
      <c r="B45" s="202">
        <v>28</v>
      </c>
      <c r="C45" s="212" t="s">
        <v>353</v>
      </c>
      <c r="D45" s="203" t="s">
        <v>196</v>
      </c>
      <c r="E45" s="203" t="s">
        <v>62</v>
      </c>
      <c r="F45" s="74"/>
      <c r="G45" s="204">
        <v>15</v>
      </c>
      <c r="H45" s="196">
        <v>128.13300000000001</v>
      </c>
      <c r="I45" s="118">
        <f>ROUND(G45*H45,2)</f>
        <v>1922</v>
      </c>
      <c r="J45" s="118">
        <f t="shared" ref="J45:J57" si="32">IFERROR(IF(ROUND((((I45/G45*30.4)-VLOOKUP((I45/G45*30.4),TARIFA,1))*VLOOKUP((I45/G45*30.4),TARIFA,3)+VLOOKUP((I45/G45*30.4),TARIFA,2)-VLOOKUP((I45/G45*30.4),SUBSIDIO,2))/30.4*G45,2)&lt;0,ROUND(-(((I45/G45*30.4)-VLOOKUP((I45/G45*30.4),TARIFA,1))*VLOOKUP((I45/G45*30.4),TARIFA,3)+VLOOKUP((I45/G45*30.4),TARIFA,2)-VLOOKUP((I45/G45*30.4),SUBSIDIO,2))/30.4*G45,2),0),0)</f>
        <v>82.2</v>
      </c>
      <c r="K45" s="153">
        <f t="shared" ref="K45:K59" si="33">IF(H45&lt;=248.93,0,(IFERROR(IF(ROUND((((I45/G45*30.4)-VLOOKUP((I45/G45*30.4),TARIFA,1))*VLOOKUP((I45/G45*30.4),TARIFA,3)+VLOOKUP((I45/G45*30.4),TARIFA,2)-VLOOKUP((I45/G45*30.4),SUBSIDIO,2))/30.4*G45,2)&gt;0,ROUND((((I45/G45*30.4)-VLOOKUP((I45/G45*30.4),TARIFA,1))*VLOOKUP((I45/G45*30.4),TARIFA,3)+VLOOKUP((I45/G45*30.4),TARIFA,2)-VLOOKUP((I45/G45*30.4),SUBSIDIO,2))/30.4*G45,2),0),0)))</f>
        <v>0</v>
      </c>
      <c r="L45" s="153">
        <f t="shared" ref="L45:L57" si="34">K45</f>
        <v>0</v>
      </c>
      <c r="M45" s="118">
        <f t="shared" ref="M45:M57" si="35">I45+J45-L45</f>
        <v>2004.2</v>
      </c>
      <c r="N45" s="122"/>
      <c r="O45" s="48"/>
    </row>
    <row r="46" spans="2:15" ht="30" customHeight="1" x14ac:dyDescent="0.2">
      <c r="B46" s="202">
        <v>29</v>
      </c>
      <c r="C46" s="212" t="s">
        <v>353</v>
      </c>
      <c r="D46" s="203" t="s">
        <v>197</v>
      </c>
      <c r="E46" s="203" t="s">
        <v>63</v>
      </c>
      <c r="F46" s="74"/>
      <c r="G46" s="204">
        <v>15</v>
      </c>
      <c r="H46" s="196">
        <v>160.53299999999999</v>
      </c>
      <c r="I46" s="118">
        <f t="shared" ref="I46:I53" si="36">ROUND(G46*H46,2)</f>
        <v>2408</v>
      </c>
      <c r="J46" s="118">
        <f t="shared" si="32"/>
        <v>22.68</v>
      </c>
      <c r="K46" s="153">
        <f t="shared" si="33"/>
        <v>0</v>
      </c>
      <c r="L46" s="153">
        <f t="shared" si="34"/>
        <v>0</v>
      </c>
      <c r="M46" s="118">
        <f t="shared" si="35"/>
        <v>2430.6799999999998</v>
      </c>
      <c r="N46" s="122"/>
      <c r="O46" s="48"/>
    </row>
    <row r="47" spans="2:15" ht="30" customHeight="1" x14ac:dyDescent="0.2">
      <c r="B47" s="202">
        <v>30</v>
      </c>
      <c r="C47" s="212"/>
      <c r="D47" s="203" t="s">
        <v>198</v>
      </c>
      <c r="E47" s="203" t="s">
        <v>56</v>
      </c>
      <c r="F47" s="74"/>
      <c r="G47" s="204">
        <v>15</v>
      </c>
      <c r="H47" s="196">
        <v>220.8</v>
      </c>
      <c r="I47" s="118">
        <f t="shared" si="36"/>
        <v>3312</v>
      </c>
      <c r="J47" s="153">
        <f t="shared" si="32"/>
        <v>0</v>
      </c>
      <c r="K47" s="153">
        <f t="shared" si="33"/>
        <v>0</v>
      </c>
      <c r="L47" s="153">
        <f t="shared" si="34"/>
        <v>0</v>
      </c>
      <c r="M47" s="118">
        <f t="shared" si="35"/>
        <v>3312</v>
      </c>
      <c r="N47" s="122"/>
      <c r="O47" s="48"/>
    </row>
    <row r="48" spans="2:15" ht="30" customHeight="1" x14ac:dyDescent="0.2">
      <c r="B48" s="202">
        <v>31</v>
      </c>
      <c r="C48" s="212" t="s">
        <v>353</v>
      </c>
      <c r="D48" s="203" t="s">
        <v>272</v>
      </c>
      <c r="E48" s="203" t="s">
        <v>69</v>
      </c>
      <c r="F48" s="74"/>
      <c r="G48" s="204">
        <v>15</v>
      </c>
      <c r="H48" s="196">
        <v>132.2664</v>
      </c>
      <c r="I48" s="118">
        <f t="shared" si="36"/>
        <v>1984</v>
      </c>
      <c r="J48" s="118">
        <f t="shared" si="32"/>
        <v>78.23</v>
      </c>
      <c r="K48" s="153">
        <f t="shared" si="33"/>
        <v>0</v>
      </c>
      <c r="L48" s="153">
        <f t="shared" si="34"/>
        <v>0</v>
      </c>
      <c r="M48" s="118">
        <f t="shared" si="35"/>
        <v>2062.23</v>
      </c>
      <c r="N48" s="122"/>
      <c r="O48" s="48"/>
    </row>
    <row r="49" spans="2:15" ht="30" customHeight="1" x14ac:dyDescent="0.2">
      <c r="B49" s="202">
        <v>32</v>
      </c>
      <c r="C49" s="212" t="s">
        <v>353</v>
      </c>
      <c r="D49" s="203" t="s">
        <v>358</v>
      </c>
      <c r="E49" s="203" t="s">
        <v>69</v>
      </c>
      <c r="F49" s="74"/>
      <c r="G49" s="204">
        <v>15</v>
      </c>
      <c r="H49" s="196">
        <v>147.733</v>
      </c>
      <c r="I49" s="118">
        <f>ROUND(G49*H49,2)</f>
        <v>2216</v>
      </c>
      <c r="J49" s="118">
        <f>IFERROR(IF(ROUND((((I49/G49*30.4)-VLOOKUP((I49/G49*30.4),TARIFA,1))*VLOOKUP((I49/G49*30.4),TARIFA,3)+VLOOKUP((I49/G49*30.4),TARIFA,2)-VLOOKUP((I49/G49*30.4),SUBSIDIO,2))/30.4*G49,2)&lt;0,ROUND(-(((I49/G49*30.4)-VLOOKUP((I49/G49*30.4),TARIFA,1))*VLOOKUP((I49/G49*30.4),TARIFA,3)+VLOOKUP((I49/G49*30.4),TARIFA,2)-VLOOKUP((I49/G49*30.4),SUBSIDIO,2))/30.4*G49,2),0),0)</f>
        <v>49.45</v>
      </c>
      <c r="K49" s="153">
        <f t="shared" si="33"/>
        <v>0</v>
      </c>
      <c r="L49" s="153">
        <f t="shared" si="34"/>
        <v>0</v>
      </c>
      <c r="M49" s="118">
        <f>I49+J49-L49</f>
        <v>2265.4499999999998</v>
      </c>
      <c r="N49" s="122"/>
      <c r="O49" s="48"/>
    </row>
    <row r="50" spans="2:15" ht="30" customHeight="1" x14ac:dyDescent="0.2">
      <c r="B50" s="202">
        <v>33</v>
      </c>
      <c r="C50" s="212" t="s">
        <v>353</v>
      </c>
      <c r="D50" s="203" t="s">
        <v>199</v>
      </c>
      <c r="E50" s="203" t="s">
        <v>109</v>
      </c>
      <c r="F50" s="74"/>
      <c r="G50" s="204">
        <v>15</v>
      </c>
      <c r="H50" s="196">
        <v>83.2</v>
      </c>
      <c r="I50" s="118">
        <f t="shared" si="36"/>
        <v>1248</v>
      </c>
      <c r="J50" s="118">
        <f t="shared" si="32"/>
        <v>137.36000000000001</v>
      </c>
      <c r="K50" s="153">
        <f t="shared" si="33"/>
        <v>0</v>
      </c>
      <c r="L50" s="153">
        <f t="shared" si="34"/>
        <v>0</v>
      </c>
      <c r="M50" s="118">
        <f t="shared" si="35"/>
        <v>1385.3600000000001</v>
      </c>
      <c r="N50" s="122"/>
      <c r="O50" s="48"/>
    </row>
    <row r="51" spans="2:15" ht="30" customHeight="1" x14ac:dyDescent="0.2">
      <c r="B51" s="202">
        <v>34</v>
      </c>
      <c r="C51" s="212" t="s">
        <v>353</v>
      </c>
      <c r="D51" s="203" t="s">
        <v>200</v>
      </c>
      <c r="E51" s="203" t="s">
        <v>69</v>
      </c>
      <c r="F51" s="74"/>
      <c r="G51" s="204">
        <v>15</v>
      </c>
      <c r="H51" s="196">
        <v>147.733</v>
      </c>
      <c r="I51" s="118">
        <f t="shared" si="36"/>
        <v>2216</v>
      </c>
      <c r="J51" s="118">
        <f t="shared" si="32"/>
        <v>49.45</v>
      </c>
      <c r="K51" s="153">
        <f t="shared" si="33"/>
        <v>0</v>
      </c>
      <c r="L51" s="153">
        <f t="shared" si="34"/>
        <v>0</v>
      </c>
      <c r="M51" s="118">
        <f t="shared" si="35"/>
        <v>2265.4499999999998</v>
      </c>
      <c r="N51" s="122"/>
      <c r="O51" s="48"/>
    </row>
    <row r="52" spans="2:15" ht="30" customHeight="1" x14ac:dyDescent="0.2">
      <c r="B52" s="202">
        <v>35</v>
      </c>
      <c r="C52" s="212" t="s">
        <v>353</v>
      </c>
      <c r="D52" s="203" t="s">
        <v>201</v>
      </c>
      <c r="E52" s="203" t="s">
        <v>56</v>
      </c>
      <c r="F52" s="74"/>
      <c r="G52" s="204">
        <v>15</v>
      </c>
      <c r="H52" s="196">
        <v>220.8</v>
      </c>
      <c r="I52" s="118">
        <f>ROUND(G52*H52,2)</f>
        <v>3312</v>
      </c>
      <c r="J52" s="153">
        <f t="shared" si="32"/>
        <v>0</v>
      </c>
      <c r="K52" s="153">
        <f t="shared" si="33"/>
        <v>0</v>
      </c>
      <c r="L52" s="153">
        <f t="shared" si="34"/>
        <v>0</v>
      </c>
      <c r="M52" s="118">
        <f t="shared" si="35"/>
        <v>3312</v>
      </c>
      <c r="N52" s="122"/>
      <c r="O52" s="48"/>
    </row>
    <row r="53" spans="2:15" ht="30" customHeight="1" x14ac:dyDescent="0.2">
      <c r="B53" s="202">
        <v>36</v>
      </c>
      <c r="C53" s="212" t="s">
        <v>353</v>
      </c>
      <c r="D53" s="203" t="s">
        <v>361</v>
      </c>
      <c r="E53" s="203" t="s">
        <v>69</v>
      </c>
      <c r="F53" s="74"/>
      <c r="G53" s="204">
        <v>15</v>
      </c>
      <c r="H53" s="196">
        <v>147.733</v>
      </c>
      <c r="I53" s="118">
        <f t="shared" si="36"/>
        <v>2216</v>
      </c>
      <c r="J53" s="153">
        <f t="shared" si="32"/>
        <v>49.45</v>
      </c>
      <c r="K53" s="153">
        <f t="shared" si="33"/>
        <v>0</v>
      </c>
      <c r="L53" s="153">
        <f t="shared" si="34"/>
        <v>0</v>
      </c>
      <c r="M53" s="118">
        <f t="shared" si="35"/>
        <v>2265.4499999999998</v>
      </c>
      <c r="N53" s="122"/>
      <c r="O53" s="48"/>
    </row>
    <row r="54" spans="2:15" ht="30" customHeight="1" x14ac:dyDescent="0.2">
      <c r="B54" s="202">
        <v>37</v>
      </c>
      <c r="C54" s="212"/>
      <c r="D54" s="203" t="s">
        <v>202</v>
      </c>
      <c r="E54" s="203" t="s">
        <v>56</v>
      </c>
      <c r="F54" s="74"/>
      <c r="G54" s="204">
        <v>15</v>
      </c>
      <c r="H54" s="196">
        <v>220.8</v>
      </c>
      <c r="I54" s="118">
        <f t="shared" ref="I54:I57" si="37">ROUND(G54*H54,2)</f>
        <v>3312</v>
      </c>
      <c r="J54" s="153">
        <f t="shared" si="32"/>
        <v>0</v>
      </c>
      <c r="K54" s="153">
        <f t="shared" si="33"/>
        <v>0</v>
      </c>
      <c r="L54" s="153">
        <f t="shared" si="34"/>
        <v>0</v>
      </c>
      <c r="M54" s="118">
        <f t="shared" si="35"/>
        <v>3312</v>
      </c>
      <c r="N54" s="122"/>
      <c r="O54" s="48"/>
    </row>
    <row r="55" spans="2:15" ht="30" customHeight="1" x14ac:dyDescent="0.2">
      <c r="B55" s="202">
        <v>38</v>
      </c>
      <c r="C55" s="212" t="s">
        <v>353</v>
      </c>
      <c r="D55" s="203" t="s">
        <v>164</v>
      </c>
      <c r="E55" s="203" t="s">
        <v>56</v>
      </c>
      <c r="F55" s="74"/>
      <c r="G55" s="204">
        <v>15</v>
      </c>
      <c r="H55" s="196">
        <v>220.8</v>
      </c>
      <c r="I55" s="118">
        <f t="shared" si="37"/>
        <v>3312</v>
      </c>
      <c r="J55" s="153">
        <f t="shared" si="32"/>
        <v>0</v>
      </c>
      <c r="K55" s="153">
        <f t="shared" si="33"/>
        <v>0</v>
      </c>
      <c r="L55" s="153">
        <f t="shared" si="34"/>
        <v>0</v>
      </c>
      <c r="M55" s="118">
        <f t="shared" si="35"/>
        <v>3312</v>
      </c>
      <c r="N55" s="122"/>
      <c r="O55" s="48"/>
    </row>
    <row r="56" spans="2:15" ht="30" customHeight="1" x14ac:dyDescent="0.2">
      <c r="B56" s="202">
        <v>39</v>
      </c>
      <c r="C56" s="212" t="s">
        <v>353</v>
      </c>
      <c r="D56" s="203" t="s">
        <v>163</v>
      </c>
      <c r="E56" s="203" t="s">
        <v>56</v>
      </c>
      <c r="F56" s="74"/>
      <c r="G56" s="204">
        <v>15</v>
      </c>
      <c r="H56" s="196">
        <v>220.8</v>
      </c>
      <c r="I56" s="118">
        <f t="shared" si="37"/>
        <v>3312</v>
      </c>
      <c r="J56" s="153">
        <f t="shared" si="32"/>
        <v>0</v>
      </c>
      <c r="K56" s="153">
        <f t="shared" si="33"/>
        <v>0</v>
      </c>
      <c r="L56" s="153">
        <f t="shared" si="34"/>
        <v>0</v>
      </c>
      <c r="M56" s="118">
        <f t="shared" si="35"/>
        <v>3312</v>
      </c>
      <c r="N56" s="122"/>
      <c r="O56" s="48"/>
    </row>
    <row r="57" spans="2:15" ht="30" customHeight="1" x14ac:dyDescent="0.2">
      <c r="B57" s="202">
        <v>40</v>
      </c>
      <c r="C57" s="212" t="s">
        <v>353</v>
      </c>
      <c r="D57" s="203" t="s">
        <v>370</v>
      </c>
      <c r="E57" s="203" t="s">
        <v>56</v>
      </c>
      <c r="F57" s="74"/>
      <c r="G57" s="204">
        <v>15</v>
      </c>
      <c r="H57" s="196">
        <v>220.8</v>
      </c>
      <c r="I57" s="118">
        <f t="shared" si="37"/>
        <v>3312</v>
      </c>
      <c r="J57" s="153">
        <f t="shared" si="32"/>
        <v>0</v>
      </c>
      <c r="K57" s="153">
        <f t="shared" si="33"/>
        <v>0</v>
      </c>
      <c r="L57" s="153">
        <f t="shared" si="34"/>
        <v>0</v>
      </c>
      <c r="M57" s="118">
        <f t="shared" si="35"/>
        <v>3312</v>
      </c>
      <c r="N57" s="122"/>
      <c r="O57" s="48"/>
    </row>
    <row r="58" spans="2:15" ht="30" customHeight="1" x14ac:dyDescent="0.2">
      <c r="B58" s="202">
        <v>41</v>
      </c>
      <c r="C58" s="212" t="s">
        <v>353</v>
      </c>
      <c r="D58" s="203" t="s">
        <v>479</v>
      </c>
      <c r="E58" s="203" t="s">
        <v>56</v>
      </c>
      <c r="F58" s="74"/>
      <c r="G58" s="204">
        <v>15</v>
      </c>
      <c r="H58" s="196">
        <v>220.8</v>
      </c>
      <c r="I58" s="118">
        <f t="shared" ref="I58" si="38">ROUND(G58*H58,2)</f>
        <v>3312</v>
      </c>
      <c r="J58" s="153">
        <f t="shared" ref="J58" si="39">IFERROR(IF(ROUND((((I58/G58*30.4)-VLOOKUP((I58/G58*30.4),TARIFA,1))*VLOOKUP((I58/G58*30.4),TARIFA,3)+VLOOKUP((I58/G58*30.4),TARIFA,2)-VLOOKUP((I58/G58*30.4),SUBSIDIO,2))/30.4*G58,2)&lt;0,ROUND(-(((I58/G58*30.4)-VLOOKUP((I58/G58*30.4),TARIFA,1))*VLOOKUP((I58/G58*30.4),TARIFA,3)+VLOOKUP((I58/G58*30.4),TARIFA,2)-VLOOKUP((I58/G58*30.4),SUBSIDIO,2))/30.4*G58,2),0),0)</f>
        <v>0</v>
      </c>
      <c r="K58" s="153">
        <f t="shared" ref="K58" si="40">IF(H58&lt;=248.93,0,(IFERROR(IF(ROUND((((I58/G58*30.4)-VLOOKUP((I58/G58*30.4),TARIFA,1))*VLOOKUP((I58/G58*30.4),TARIFA,3)+VLOOKUP((I58/G58*30.4),TARIFA,2)-VLOOKUP((I58/G58*30.4),SUBSIDIO,2))/30.4*G58,2)&gt;0,ROUND((((I58/G58*30.4)-VLOOKUP((I58/G58*30.4),TARIFA,1))*VLOOKUP((I58/G58*30.4),TARIFA,3)+VLOOKUP((I58/G58*30.4),TARIFA,2)-VLOOKUP((I58/G58*30.4),SUBSIDIO,2))/30.4*G58,2),0),0)))</f>
        <v>0</v>
      </c>
      <c r="L58" s="153">
        <f t="shared" ref="L58" si="41">K58</f>
        <v>0</v>
      </c>
      <c r="M58" s="118">
        <f t="shared" ref="M58" si="42">I58+J58-L58</f>
        <v>3312</v>
      </c>
      <c r="N58" s="122"/>
      <c r="O58" s="48"/>
    </row>
    <row r="59" spans="2:15" ht="30" customHeight="1" x14ac:dyDescent="0.2">
      <c r="B59" s="202">
        <v>42</v>
      </c>
      <c r="C59" s="212" t="s">
        <v>353</v>
      </c>
      <c r="D59" s="203" t="s">
        <v>371</v>
      </c>
      <c r="E59" s="203" t="s">
        <v>372</v>
      </c>
      <c r="F59" s="74"/>
      <c r="G59" s="204">
        <v>15</v>
      </c>
      <c r="H59" s="196">
        <v>164.8664</v>
      </c>
      <c r="I59" s="118">
        <f>ROUND(G59*H59,2)</f>
        <v>2473</v>
      </c>
      <c r="J59" s="153">
        <f>IFERROR(IF(ROUND((((I59/G59*30.4)-VLOOKUP((I59/G59*30.4),TARIFA,1))*VLOOKUP((I59/G59*30.4),TARIFA,3)+VLOOKUP((I59/G59*30.4),TARIFA,2)-VLOOKUP((I59/G59*30.4),SUBSIDIO,2))/30.4*G59,2)&lt;0,ROUND(-(((I59/G59*30.4)-VLOOKUP((I59/G59*30.4),TARIFA,1))*VLOOKUP((I59/G59*30.4),TARIFA,3)+VLOOKUP((I59/G59*30.4),TARIFA,2)-VLOOKUP((I59/G59*30.4),SUBSIDIO,2))/30.4*G59,2),0),0)</f>
        <v>18.52</v>
      </c>
      <c r="K59" s="153">
        <f t="shared" si="33"/>
        <v>0</v>
      </c>
      <c r="L59" s="153">
        <v>0</v>
      </c>
      <c r="M59" s="118">
        <f>I59+J59-L59</f>
        <v>2491.52</v>
      </c>
      <c r="N59" s="122"/>
      <c r="O59" s="48"/>
    </row>
    <row r="60" spans="2:15" ht="30" customHeight="1" x14ac:dyDescent="0.2">
      <c r="B60" s="202">
        <v>43</v>
      </c>
      <c r="C60" s="212" t="s">
        <v>353</v>
      </c>
      <c r="D60" s="203" t="s">
        <v>473</v>
      </c>
      <c r="E60" s="203" t="s">
        <v>69</v>
      </c>
      <c r="F60" s="74"/>
      <c r="G60" s="204">
        <v>15</v>
      </c>
      <c r="H60" s="196">
        <v>147.733</v>
      </c>
      <c r="I60" s="118">
        <f>ROUND(G60*H60,2)</f>
        <v>2216</v>
      </c>
      <c r="J60" s="153">
        <f>IFERROR(IF(ROUND((((I60/G60*30.4)-VLOOKUP((I60/G60*30.4),TARIFA,1))*VLOOKUP((I60/G60*30.4),TARIFA,3)+VLOOKUP((I60/G60*30.4),TARIFA,2)-VLOOKUP((I60/G60*30.4),SUBSIDIO,2))/30.4*G60,2)&lt;0,ROUND(-(((I60/G60*30.4)-VLOOKUP((I60/G60*30.4),TARIFA,1))*VLOOKUP((I60/G60*30.4),TARIFA,3)+VLOOKUP((I60/G60*30.4),TARIFA,2)-VLOOKUP((I60/G60*30.4),SUBSIDIO,2))/30.4*G60,2),0),0)</f>
        <v>49.45</v>
      </c>
      <c r="K60" s="153">
        <f t="shared" ref="K60" si="43">IF(H60&lt;=248.93,0,(IFERROR(IF(ROUND((((I60/G60*30.4)-VLOOKUP((I60/G60*30.4),TARIFA,1))*VLOOKUP((I60/G60*30.4),TARIFA,3)+VLOOKUP((I60/G60*30.4),TARIFA,2)-VLOOKUP((I60/G60*30.4),SUBSIDIO,2))/30.4*G60,2)&gt;0,ROUND((((I60/G60*30.4)-VLOOKUP((I60/G60*30.4),TARIFA,1))*VLOOKUP((I60/G60*30.4),TARIFA,3)+VLOOKUP((I60/G60*30.4),TARIFA,2)-VLOOKUP((I60/G60*30.4),SUBSIDIO,2))/30.4*G60,2),0),0)))</f>
        <v>0</v>
      </c>
      <c r="L60" s="153">
        <v>0</v>
      </c>
      <c r="M60" s="118">
        <f>I60+J60-L60</f>
        <v>2265.4499999999998</v>
      </c>
      <c r="N60" s="122"/>
      <c r="O60" s="48"/>
    </row>
    <row r="61" spans="2:15" ht="30" customHeight="1" x14ac:dyDescent="0.2">
      <c r="B61" s="202"/>
      <c r="C61" s="212"/>
      <c r="D61" s="203"/>
      <c r="E61" s="218" t="s">
        <v>33</v>
      </c>
      <c r="F61" s="415"/>
      <c r="G61" s="416"/>
      <c r="H61" s="417"/>
      <c r="I61" s="119">
        <f>SUM(I45:I60)</f>
        <v>42083</v>
      </c>
      <c r="J61" s="119">
        <f t="shared" ref="J61:N61" si="44">SUM(J45:J60)</f>
        <v>536.79</v>
      </c>
      <c r="K61" s="154">
        <f t="shared" si="44"/>
        <v>0</v>
      </c>
      <c r="L61" s="154">
        <f t="shared" si="44"/>
        <v>0</v>
      </c>
      <c r="M61" s="119">
        <f t="shared" si="44"/>
        <v>42619.79</v>
      </c>
      <c r="N61" s="123">
        <f t="shared" si="44"/>
        <v>0</v>
      </c>
      <c r="O61" s="48"/>
    </row>
    <row r="62" spans="2:15" ht="30" customHeight="1" x14ac:dyDescent="0.2">
      <c r="B62" s="418" t="s">
        <v>44</v>
      </c>
      <c r="C62" s="419"/>
      <c r="D62" s="420"/>
      <c r="E62" s="420"/>
      <c r="F62" s="420"/>
      <c r="G62" s="420"/>
      <c r="H62" s="420"/>
      <c r="I62" s="420"/>
      <c r="J62" s="420"/>
      <c r="K62" s="420"/>
      <c r="L62" s="420"/>
      <c r="M62" s="420"/>
      <c r="N62" s="421"/>
      <c r="O62" s="48"/>
    </row>
    <row r="63" spans="2:15" ht="30" customHeight="1" x14ac:dyDescent="0.2">
      <c r="B63" s="202">
        <v>44</v>
      </c>
      <c r="C63" s="212" t="s">
        <v>353</v>
      </c>
      <c r="D63" s="203" t="s">
        <v>203</v>
      </c>
      <c r="E63" s="203" t="s">
        <v>72</v>
      </c>
      <c r="F63" s="74"/>
      <c r="G63" s="204">
        <v>15</v>
      </c>
      <c r="H63" s="215">
        <v>134.93299999999999</v>
      </c>
      <c r="I63" s="118">
        <f>ROUND(G63*H63,2)</f>
        <v>2024</v>
      </c>
      <c r="J63" s="118">
        <f>IFERROR(IF(ROUND((((I63/G63*30.4)-VLOOKUP((I63/G63*30.4),TARIFA,1))*VLOOKUP((I63/G63*30.4),TARIFA,3)+VLOOKUP((I63/G63*30.4),TARIFA,2)-VLOOKUP((I63/G63*30.4),SUBSIDIO,2))/30.4*G63,2)&lt;0,ROUND(-(((I63/G63*30.4)-VLOOKUP((I63/G63*30.4),TARIFA,1))*VLOOKUP((I63/G63*30.4),TARIFA,3)+VLOOKUP((I63/G63*30.4),TARIFA,2)-VLOOKUP((I63/G63*30.4),SUBSIDIO,2))/30.4*G63,2),0),0)</f>
        <v>75.67</v>
      </c>
      <c r="K63" s="153">
        <f>IF(H63&lt;=248.93,0,(IFERROR(IF(ROUND((((I63/G63*30.4)-VLOOKUP((I63/G63*30.4),TARIFA,1))*VLOOKUP((I63/G63*30.4),TARIFA,3)+VLOOKUP((I63/G63*30.4),TARIFA,2)-VLOOKUP((I63/G63*30.4),SUBSIDIO,2))/30.4*G63,2)&gt;0,ROUND((((I63/G63*30.4)-VLOOKUP((I63/G63*30.4),TARIFA,1))*VLOOKUP((I63/G63*30.4),TARIFA,3)+VLOOKUP((I63/G63*30.4),TARIFA,2)-VLOOKUP((I63/G63*30.4),SUBSIDIO,2))/30.4*G63,2),0),0)))</f>
        <v>0</v>
      </c>
      <c r="L63" s="153">
        <f>K63</f>
        <v>0</v>
      </c>
      <c r="M63" s="118">
        <f>I63+J63-L63</f>
        <v>2099.67</v>
      </c>
      <c r="N63" s="122"/>
      <c r="O63" s="48"/>
    </row>
    <row r="64" spans="2:15" ht="30" customHeight="1" x14ac:dyDescent="0.2">
      <c r="B64" s="202">
        <v>45</v>
      </c>
      <c r="C64" s="212" t="s">
        <v>353</v>
      </c>
      <c r="D64" s="203" t="s">
        <v>204</v>
      </c>
      <c r="E64" s="203" t="s">
        <v>65</v>
      </c>
      <c r="F64" s="74"/>
      <c r="G64" s="204">
        <v>15</v>
      </c>
      <c r="H64" s="215">
        <v>213.13300000000001</v>
      </c>
      <c r="I64" s="118">
        <f>ROUND(G64*H64,2)</f>
        <v>3197</v>
      </c>
      <c r="J64" s="153">
        <f>IFERROR(IF(ROUND((((I64/G64*30.4)-VLOOKUP((I64/G64*30.4),TARIFA,1))*VLOOKUP((I64/G64*30.4),TARIFA,3)+VLOOKUP((I64/G64*30.4),TARIFA,2)-VLOOKUP((I64/G64*30.4),SUBSIDIO,2))/30.4*G64,2)&lt;0,ROUND(-(((I64/G64*30.4)-VLOOKUP((I64/G64*30.4),TARIFA,1))*VLOOKUP((I64/G64*30.4),TARIFA,3)+VLOOKUP((I64/G64*30.4),TARIFA,2)-VLOOKUP((I64/G64*30.4),SUBSIDIO,2))/30.4*G64,2),0),0)</f>
        <v>0</v>
      </c>
      <c r="K64" s="153">
        <f>IF(H64&lt;=248.93,0,(IFERROR(IF(ROUND((((I64/G64*30.4)-VLOOKUP((I64/G64*30.4),TARIFA,1))*VLOOKUP((I64/G64*30.4),TARIFA,3)+VLOOKUP((I64/G64*30.4),TARIFA,2)-VLOOKUP((I64/G64*30.4),SUBSIDIO,2))/30.4*G64,2)&gt;0,ROUND((((I64/G64*30.4)-VLOOKUP((I64/G64*30.4),TARIFA,1))*VLOOKUP((I64/G64*30.4),TARIFA,3)+VLOOKUP((I64/G64*30.4),TARIFA,2)-VLOOKUP((I64/G64*30.4),SUBSIDIO,2))/30.4*G64,2),0),0)))</f>
        <v>0</v>
      </c>
      <c r="L64" s="153">
        <f>K64</f>
        <v>0</v>
      </c>
      <c r="M64" s="118">
        <f>I64+J64-L64</f>
        <v>3197</v>
      </c>
      <c r="N64" s="122"/>
      <c r="O64" s="48"/>
    </row>
    <row r="65" spans="2:15" ht="30" customHeight="1" x14ac:dyDescent="0.2">
      <c r="B65" s="202">
        <v>46</v>
      </c>
      <c r="C65" s="212" t="s">
        <v>353</v>
      </c>
      <c r="D65" s="203" t="s">
        <v>205</v>
      </c>
      <c r="E65" s="203" t="s">
        <v>65</v>
      </c>
      <c r="F65" s="74"/>
      <c r="G65" s="204">
        <v>15</v>
      </c>
      <c r="H65" s="215">
        <v>261.8</v>
      </c>
      <c r="I65" s="118">
        <f>ROUND(G65*H65,2)</f>
        <v>3927</v>
      </c>
      <c r="J65" s="153">
        <f>IFERROR(IF(ROUND((((I65/G65*30.4)-VLOOKUP((I65/G65*30.4),TARIFA,1))*VLOOKUP((I65/G65*30.4),TARIFA,3)+VLOOKUP((I65/G65*30.4),TARIFA,2)-VLOOKUP((I65/G65*30.4),SUBSIDIO,2))/30.4*G65,2)&lt;0,ROUND(-(((I65/G65*30.4)-VLOOKUP((I65/G65*30.4),TARIFA,1))*VLOOKUP((I65/G65*30.4),TARIFA,3)+VLOOKUP((I65/G65*30.4),TARIFA,2)-VLOOKUP((I65/G65*30.4),SUBSIDIO,2))/30.4*G65,2),0),0)</f>
        <v>0</v>
      </c>
      <c r="K65" s="118">
        <f>IF(H65&lt;=248.93,0,(IFERROR(IF(ROUND((((I65/G65*30.4)-VLOOKUP((I65/G65*30.4),TARIFA,1))*VLOOKUP((I65/G65*30.4),TARIFA,3)+VLOOKUP((I65/G65*30.4),TARIFA,2)-VLOOKUP((I65/G65*30.4),SUBSIDIO,2))/30.4*G65,2)&gt;0,ROUND((((I65/G65*30.4)-VLOOKUP((I65/G65*30.4),TARIFA,1))*VLOOKUP((I65/G65*30.4),TARIFA,3)+VLOOKUP((I65/G65*30.4),TARIFA,2)-VLOOKUP((I65/G65*30.4),SUBSIDIO,2))/30.4*G65,2),0),0)))</f>
        <v>270.79000000000002</v>
      </c>
      <c r="L65" s="118">
        <f>K65</f>
        <v>270.79000000000002</v>
      </c>
      <c r="M65" s="118">
        <f>I65+J65-L65</f>
        <v>3656.21</v>
      </c>
      <c r="N65" s="122"/>
      <c r="O65" s="48"/>
    </row>
    <row r="66" spans="2:15" ht="30" customHeight="1" x14ac:dyDescent="0.2">
      <c r="B66" s="202">
        <v>47</v>
      </c>
      <c r="C66" s="212" t="s">
        <v>353</v>
      </c>
      <c r="D66" s="203" t="s">
        <v>270</v>
      </c>
      <c r="E66" s="203" t="s">
        <v>271</v>
      </c>
      <c r="F66" s="74"/>
      <c r="G66" s="204">
        <v>15</v>
      </c>
      <c r="H66" s="215">
        <v>315.13299999999998</v>
      </c>
      <c r="I66" s="118">
        <f>ROUND(G66*H66,2)</f>
        <v>4727</v>
      </c>
      <c r="J66" s="153">
        <f>IFERROR(IF(ROUND((((I66/G66*30.4)-VLOOKUP((I66/G66*30.4),TARIFA,1))*VLOOKUP((I66/G66*30.4),TARIFA,3)+VLOOKUP((I66/G66*30.4),TARIFA,2)-VLOOKUP((I66/G66*30.4),SUBSIDIO,2))/30.4*G66,2)&lt;0,ROUND(-(((I66/G66*30.4)-VLOOKUP((I66/G66*30.4),TARIFA,1))*VLOOKUP((I66/G66*30.4),TARIFA,3)+VLOOKUP((I66/G66*30.4),TARIFA,2)-VLOOKUP((I66/G66*30.4),SUBSIDIO,2))/30.4*G66,2),0),0)</f>
        <v>0</v>
      </c>
      <c r="K66" s="118">
        <f>IF(H66&lt;=248.93,0,(IFERROR(IF(ROUND((((I66/G66*30.4)-VLOOKUP((I66/G66*30.4),TARIFA,1))*VLOOKUP((I66/G66*30.4),TARIFA,3)+VLOOKUP((I66/G66*30.4),TARIFA,2)-VLOOKUP((I66/G66*30.4),SUBSIDIO,2))/30.4*G66,2)&gt;0,ROUND((((I66/G66*30.4)-VLOOKUP((I66/G66*30.4),TARIFA,1))*VLOOKUP((I66/G66*30.4),TARIFA,3)+VLOOKUP((I66/G66*30.4),TARIFA,2)-VLOOKUP((I66/G66*30.4),SUBSIDIO,2))/30.4*G66,2),0),0)))</f>
        <v>357.83</v>
      </c>
      <c r="L66" s="118">
        <f>K66</f>
        <v>357.83</v>
      </c>
      <c r="M66" s="118">
        <f>I66+J66-L66</f>
        <v>4369.17</v>
      </c>
      <c r="N66" s="122"/>
      <c r="O66" s="48"/>
    </row>
    <row r="67" spans="2:15" ht="30" customHeight="1" x14ac:dyDescent="0.2">
      <c r="B67" s="202"/>
      <c r="C67" s="212"/>
      <c r="D67" s="203"/>
      <c r="E67" s="214" t="s">
        <v>33</v>
      </c>
      <c r="F67" s="415"/>
      <c r="G67" s="416"/>
      <c r="H67" s="417"/>
      <c r="I67" s="119">
        <f>SUM(I63:I66)</f>
        <v>13875</v>
      </c>
      <c r="J67" s="119">
        <f t="shared" ref="J67:N67" si="45">SUM(J63:J66)</f>
        <v>75.67</v>
      </c>
      <c r="K67" s="119">
        <f t="shared" si="45"/>
        <v>628.62</v>
      </c>
      <c r="L67" s="119">
        <f t="shared" si="45"/>
        <v>628.62</v>
      </c>
      <c r="M67" s="119">
        <f>SUM(M63:M66)</f>
        <v>13322.050000000001</v>
      </c>
      <c r="N67" s="123">
        <f t="shared" si="45"/>
        <v>0</v>
      </c>
      <c r="O67" s="48"/>
    </row>
    <row r="68" spans="2:15" ht="30" customHeight="1" x14ac:dyDescent="0.2">
      <c r="B68" s="418" t="s">
        <v>46</v>
      </c>
      <c r="C68" s="419"/>
      <c r="D68" s="420"/>
      <c r="E68" s="420"/>
      <c r="F68" s="420"/>
      <c r="G68" s="420"/>
      <c r="H68" s="420"/>
      <c r="I68" s="420"/>
      <c r="J68" s="420"/>
      <c r="K68" s="420"/>
      <c r="L68" s="420"/>
      <c r="M68" s="420"/>
      <c r="N68" s="421"/>
      <c r="O68" s="48"/>
    </row>
    <row r="69" spans="2:15" ht="30" customHeight="1" x14ac:dyDescent="0.2">
      <c r="B69" s="202">
        <v>48</v>
      </c>
      <c r="C69" s="212" t="s">
        <v>353</v>
      </c>
      <c r="D69" s="203" t="s">
        <v>493</v>
      </c>
      <c r="E69" s="203" t="s">
        <v>47</v>
      </c>
      <c r="F69" s="74"/>
      <c r="G69" s="204">
        <v>15</v>
      </c>
      <c r="H69" s="196">
        <v>310.8</v>
      </c>
      <c r="I69" s="118">
        <f t="shared" ref="I69" si="46">ROUND(G69*H69,2)</f>
        <v>4662</v>
      </c>
      <c r="J69" s="153">
        <f t="shared" ref="J69" si="47">IFERROR(IF(ROUND((((I69/G69*30.4)-VLOOKUP((I69/G69*30.4),TARIFA,1))*VLOOKUP((I69/G69*30.4),TARIFA,3)+VLOOKUP((I69/G69*30.4),TARIFA,2)-VLOOKUP((I69/G69*30.4),SUBSIDIO,2))/30.4*G69,2)&lt;0,ROUND(-(((I69/G69*30.4)-VLOOKUP((I69/G69*30.4),TARIFA,1))*VLOOKUP((I69/G69*30.4),TARIFA,3)+VLOOKUP((I69/G69*30.4),TARIFA,2)-VLOOKUP((I69/G69*30.4),SUBSIDIO,2))/30.4*G69,2),0),0)</f>
        <v>0</v>
      </c>
      <c r="K69" s="153">
        <f t="shared" ref="K69" si="48">IF(H69&lt;=248.93,0,(IFERROR(IF(ROUND((((I69/G69*30.4)-VLOOKUP((I69/G69*30.4),TARIFA,1))*VLOOKUP((I69/G69*30.4),TARIFA,3)+VLOOKUP((I69/G69*30.4),TARIFA,2)-VLOOKUP((I69/G69*30.4),SUBSIDIO,2))/30.4*G69,2)&gt;0,ROUND((((I69/G69*30.4)-VLOOKUP((I69/G69*30.4),TARIFA,1))*VLOOKUP((I69/G69*30.4),TARIFA,3)+VLOOKUP((I69/G69*30.4),TARIFA,2)-VLOOKUP((I69/G69*30.4),SUBSIDIO,2))/30.4*G69,2),0),0)))</f>
        <v>350.76</v>
      </c>
      <c r="L69" s="153">
        <f t="shared" ref="L69" si="49">K69</f>
        <v>350.76</v>
      </c>
      <c r="M69" s="118">
        <f t="shared" ref="M69" si="50">I69+J69-L69</f>
        <v>4311.24</v>
      </c>
      <c r="N69" s="122"/>
      <c r="O69" s="48"/>
    </row>
    <row r="70" spans="2:15" ht="30" customHeight="1" x14ac:dyDescent="0.2">
      <c r="B70" s="202">
        <v>49</v>
      </c>
      <c r="C70" s="212" t="s">
        <v>353</v>
      </c>
      <c r="D70" s="203" t="s">
        <v>206</v>
      </c>
      <c r="E70" s="203" t="s">
        <v>47</v>
      </c>
      <c r="F70" s="74"/>
      <c r="G70" s="204">
        <v>15</v>
      </c>
      <c r="H70" s="196">
        <v>181.8</v>
      </c>
      <c r="I70" s="118">
        <f t="shared" ref="I70:I74" si="51">ROUND(G70*H70,2)</f>
        <v>2727</v>
      </c>
      <c r="J70" s="153">
        <f t="shared" ref="J70:J75" si="52">IFERROR(IF(ROUND((((I70/G70*30.4)-VLOOKUP((I70/G70*30.4),TARIFA,1))*VLOOKUP((I70/G70*30.4),TARIFA,3)+VLOOKUP((I70/G70*30.4),TARIFA,2)-VLOOKUP((I70/G70*30.4),SUBSIDIO,2))/30.4*G70,2)&lt;0,ROUND(-(((I70/G70*30.4)-VLOOKUP((I70/G70*30.4),TARIFA,1))*VLOOKUP((I70/G70*30.4),TARIFA,3)+VLOOKUP((I70/G70*30.4),TARIFA,2)-VLOOKUP((I70/G70*30.4),SUBSIDIO,2))/30.4*G70,2),0),0)</f>
        <v>0</v>
      </c>
      <c r="K70" s="153">
        <f t="shared" ref="K70:K78" si="53">IF(H70&lt;=248.93,0,(IFERROR(IF(ROUND((((I70/G70*30.4)-VLOOKUP((I70/G70*30.4),TARIFA,1))*VLOOKUP((I70/G70*30.4),TARIFA,3)+VLOOKUP((I70/G70*30.4),TARIFA,2)-VLOOKUP((I70/G70*30.4),SUBSIDIO,2))/30.4*G70,2)&gt;0,ROUND((((I70/G70*30.4)-VLOOKUP((I70/G70*30.4),TARIFA,1))*VLOOKUP((I70/G70*30.4),TARIFA,3)+VLOOKUP((I70/G70*30.4),TARIFA,2)-VLOOKUP((I70/G70*30.4),SUBSIDIO,2))/30.4*G70,2),0),0)))</f>
        <v>0</v>
      </c>
      <c r="L70" s="153">
        <f t="shared" ref="L70:L78" si="54">K70</f>
        <v>0</v>
      </c>
      <c r="M70" s="118">
        <f t="shared" ref="M70:M75" si="55">I70+J70-L70</f>
        <v>2727</v>
      </c>
      <c r="N70" s="122"/>
      <c r="O70" s="48"/>
    </row>
    <row r="71" spans="2:15" ht="30" customHeight="1" x14ac:dyDescent="0.2">
      <c r="B71" s="202">
        <v>50</v>
      </c>
      <c r="C71" s="212" t="s">
        <v>353</v>
      </c>
      <c r="D71" s="203" t="s">
        <v>207</v>
      </c>
      <c r="E71" s="203" t="s">
        <v>54</v>
      </c>
      <c r="F71" s="63"/>
      <c r="G71" s="204">
        <v>15</v>
      </c>
      <c r="H71" s="196">
        <v>132.93299999999999</v>
      </c>
      <c r="I71" s="118">
        <f t="shared" si="51"/>
        <v>1994</v>
      </c>
      <c r="J71" s="118">
        <f t="shared" si="52"/>
        <v>77.59</v>
      </c>
      <c r="K71" s="153">
        <f t="shared" si="53"/>
        <v>0</v>
      </c>
      <c r="L71" s="153">
        <f t="shared" si="54"/>
        <v>0</v>
      </c>
      <c r="M71" s="118">
        <f t="shared" si="55"/>
        <v>2071.59</v>
      </c>
      <c r="N71" s="122"/>
      <c r="O71" s="48"/>
    </row>
    <row r="72" spans="2:15" ht="30" customHeight="1" x14ac:dyDescent="0.2">
      <c r="B72" s="202">
        <v>51</v>
      </c>
      <c r="C72" s="212" t="s">
        <v>353</v>
      </c>
      <c r="D72" s="203" t="s">
        <v>396</v>
      </c>
      <c r="E72" s="203" t="s">
        <v>54</v>
      </c>
      <c r="F72" s="74"/>
      <c r="G72" s="204">
        <v>15</v>
      </c>
      <c r="H72" s="196">
        <v>142.07900000000001</v>
      </c>
      <c r="I72" s="118">
        <f t="shared" si="51"/>
        <v>2131.19</v>
      </c>
      <c r="J72" s="118">
        <f t="shared" si="52"/>
        <v>68.81</v>
      </c>
      <c r="K72" s="153">
        <f t="shared" si="53"/>
        <v>0</v>
      </c>
      <c r="L72" s="153">
        <f t="shared" si="54"/>
        <v>0</v>
      </c>
      <c r="M72" s="118">
        <f t="shared" si="55"/>
        <v>2200</v>
      </c>
      <c r="N72" s="122"/>
      <c r="O72" s="48"/>
    </row>
    <row r="73" spans="2:15" ht="30" customHeight="1" x14ac:dyDescent="0.2">
      <c r="B73" s="202">
        <v>52</v>
      </c>
      <c r="C73" s="212"/>
      <c r="D73" s="203" t="s">
        <v>208</v>
      </c>
      <c r="E73" s="203" t="s">
        <v>54</v>
      </c>
      <c r="F73" s="74"/>
      <c r="G73" s="204">
        <v>15</v>
      </c>
      <c r="H73" s="196">
        <v>150.19399999999999</v>
      </c>
      <c r="I73" s="118">
        <f t="shared" si="51"/>
        <v>2252.91</v>
      </c>
      <c r="J73" s="118">
        <f t="shared" si="52"/>
        <v>47.09</v>
      </c>
      <c r="K73" s="153">
        <f t="shared" si="53"/>
        <v>0</v>
      </c>
      <c r="L73" s="153">
        <f t="shared" si="54"/>
        <v>0</v>
      </c>
      <c r="M73" s="118">
        <f t="shared" si="55"/>
        <v>2300</v>
      </c>
      <c r="N73" s="122"/>
      <c r="O73" s="48"/>
    </row>
    <row r="74" spans="2:15" ht="30" customHeight="1" x14ac:dyDescent="0.2">
      <c r="B74" s="202">
        <v>53</v>
      </c>
      <c r="C74" s="212"/>
      <c r="D74" s="203" t="s">
        <v>209</v>
      </c>
      <c r="E74" s="203" t="s">
        <v>54</v>
      </c>
      <c r="F74" s="74"/>
      <c r="G74" s="204">
        <v>15</v>
      </c>
      <c r="H74" s="196">
        <v>150.19399999999999</v>
      </c>
      <c r="I74" s="118">
        <f t="shared" si="51"/>
        <v>2252.91</v>
      </c>
      <c r="J74" s="118">
        <f t="shared" si="52"/>
        <v>47.09</v>
      </c>
      <c r="K74" s="153">
        <f t="shared" si="53"/>
        <v>0</v>
      </c>
      <c r="L74" s="153">
        <f t="shared" si="54"/>
        <v>0</v>
      </c>
      <c r="M74" s="118">
        <f t="shared" si="55"/>
        <v>2300</v>
      </c>
      <c r="N74" s="122"/>
      <c r="O74" s="48"/>
    </row>
    <row r="75" spans="2:15" ht="30" customHeight="1" x14ac:dyDescent="0.2">
      <c r="B75" s="202">
        <v>54</v>
      </c>
      <c r="C75" s="212" t="s">
        <v>353</v>
      </c>
      <c r="D75" s="219" t="s">
        <v>154</v>
      </c>
      <c r="E75" s="203" t="s">
        <v>54</v>
      </c>
      <c r="F75" s="74"/>
      <c r="G75" s="204">
        <v>15</v>
      </c>
      <c r="H75" s="196">
        <v>104</v>
      </c>
      <c r="I75" s="118">
        <f>ROUND(G75*H75,2)</f>
        <v>1560</v>
      </c>
      <c r="J75" s="118">
        <f t="shared" si="52"/>
        <v>117.29</v>
      </c>
      <c r="K75" s="153">
        <f t="shared" si="53"/>
        <v>0</v>
      </c>
      <c r="L75" s="153">
        <f t="shared" si="54"/>
        <v>0</v>
      </c>
      <c r="M75" s="118">
        <f t="shared" si="55"/>
        <v>1677.29</v>
      </c>
      <c r="N75" s="122"/>
      <c r="O75" s="48"/>
    </row>
    <row r="76" spans="2:15" ht="30" customHeight="1" x14ac:dyDescent="0.2">
      <c r="B76" s="202">
        <v>55</v>
      </c>
      <c r="C76" s="212" t="s">
        <v>353</v>
      </c>
      <c r="D76" s="219" t="s">
        <v>363</v>
      </c>
      <c r="E76" s="203" t="s">
        <v>364</v>
      </c>
      <c r="F76" s="74"/>
      <c r="G76" s="204">
        <v>15</v>
      </c>
      <c r="H76" s="196">
        <v>376.8</v>
      </c>
      <c r="I76" s="118">
        <f>ROUND(G76*H76,2)</f>
        <v>5652</v>
      </c>
      <c r="J76" s="153">
        <f>IFERROR(IF(ROUND((((I76/G76*30.4)-VLOOKUP((I76/G76*30.4),TARIFA,1))*VLOOKUP((I76/G76*30.4),TARIFA,3)+VLOOKUP((I76/G76*30.4),TARIFA,2)-VLOOKUP((I76/G76*30.4),SUBSIDIO,2))/30.4*G76,2)&lt;0,ROUND(-(((I76/G76*30.4)-VLOOKUP((I76/G76*30.4),TARIFA,1))*VLOOKUP((I76/G76*30.4),TARIFA,3)+VLOOKUP((I76/G76*30.4),TARIFA,2)-VLOOKUP((I76/G76*30.4),SUBSIDIO,2))/30.4*G76,2),0),0)</f>
        <v>0</v>
      </c>
      <c r="K76" s="153">
        <f t="shared" si="53"/>
        <v>466.73</v>
      </c>
      <c r="L76" s="153">
        <f>K76</f>
        <v>466.73</v>
      </c>
      <c r="M76" s="118">
        <f>I76+J76-L76</f>
        <v>5185.2700000000004</v>
      </c>
      <c r="N76" s="122"/>
      <c r="O76" s="48"/>
    </row>
    <row r="77" spans="2:15" ht="30" customHeight="1" x14ac:dyDescent="0.2">
      <c r="B77" s="202">
        <v>56</v>
      </c>
      <c r="C77" s="212" t="s">
        <v>353</v>
      </c>
      <c r="D77" s="219" t="s">
        <v>368</v>
      </c>
      <c r="E77" s="203" t="s">
        <v>364</v>
      </c>
      <c r="F77" s="74"/>
      <c r="G77" s="204">
        <v>15</v>
      </c>
      <c r="H77" s="196">
        <v>544.6</v>
      </c>
      <c r="I77" s="118">
        <f>ROUND(G77*H77,2)</f>
        <v>8169</v>
      </c>
      <c r="J77" s="153">
        <f>IFERROR(IF(ROUND((((I77/G77*30.4)-VLOOKUP((I77/G77*30.4),TARIFA,1))*VLOOKUP((I77/G77*30.4),TARIFA,3)+VLOOKUP((I77/G77*30.4),TARIFA,2)-VLOOKUP((I77/G77*30.4),SUBSIDIO,2))/30.4*G77,2)&lt;0,ROUND(-(((I77/G77*30.4)-VLOOKUP((I77/G77*30.4),TARIFA,1))*VLOOKUP((I77/G77*30.4),TARIFA,3)+VLOOKUP((I77/G77*30.4),TARIFA,2)-VLOOKUP((I77/G77*30.4),SUBSIDIO,2))/30.4*G77,2),0),0)</f>
        <v>0</v>
      </c>
      <c r="K77" s="153">
        <f t="shared" si="53"/>
        <v>921.87</v>
      </c>
      <c r="L77" s="153">
        <f>K77</f>
        <v>921.87</v>
      </c>
      <c r="M77" s="118">
        <f>I77+J77-L77</f>
        <v>7247.13</v>
      </c>
      <c r="N77" s="122"/>
      <c r="O77" s="48"/>
    </row>
    <row r="78" spans="2:15" ht="30" customHeight="1" x14ac:dyDescent="0.2">
      <c r="B78" s="202">
        <v>57</v>
      </c>
      <c r="C78" s="212" t="s">
        <v>353</v>
      </c>
      <c r="D78" s="219" t="s">
        <v>354</v>
      </c>
      <c r="E78" s="203" t="s">
        <v>42</v>
      </c>
      <c r="F78" s="74"/>
      <c r="G78" s="204">
        <v>15</v>
      </c>
      <c r="H78" s="196">
        <v>132.93299999999999</v>
      </c>
      <c r="I78" s="118">
        <f>ROUND(G78*H78,2)</f>
        <v>1994</v>
      </c>
      <c r="J78" s="118">
        <f>IFERROR(IF(ROUND((((I78/G78*30.4)-VLOOKUP((I78/G78*30.4),TARIFA,1))*VLOOKUP((I78/G78*30.4),TARIFA,3)+VLOOKUP((I78/G78*30.4),TARIFA,2)-VLOOKUP((I78/G78*30.4),SUBSIDIO,2))/30.4*G78,2)&lt;0,ROUND(-(((I78/G78*30.4)-VLOOKUP((I78/G78*30.4),TARIFA,1))*VLOOKUP((I78/G78*30.4),TARIFA,3)+VLOOKUP((I78/G78*30.4),TARIFA,2)-VLOOKUP((I78/G78*30.4),SUBSIDIO,2))/30.4*G78,2),0),0)</f>
        <v>77.59</v>
      </c>
      <c r="K78" s="153">
        <f t="shared" si="53"/>
        <v>0</v>
      </c>
      <c r="L78" s="153">
        <f t="shared" si="54"/>
        <v>0</v>
      </c>
      <c r="M78" s="118">
        <f>I78+J78-L78</f>
        <v>2071.59</v>
      </c>
      <c r="N78" s="122"/>
      <c r="O78" s="48"/>
    </row>
    <row r="79" spans="2:15" ht="30" customHeight="1" x14ac:dyDescent="0.2">
      <c r="B79" s="202"/>
      <c r="C79" s="212"/>
      <c r="D79" s="203"/>
      <c r="E79" s="214" t="s">
        <v>33</v>
      </c>
      <c r="F79" s="415"/>
      <c r="G79" s="416"/>
      <c r="H79" s="417"/>
      <c r="I79" s="119">
        <f>SUM(I69:I78)</f>
        <v>33395.01</v>
      </c>
      <c r="J79" s="119">
        <f t="shared" ref="J79:M79" si="56">SUM(J69:J78)</f>
        <v>435.46000000000004</v>
      </c>
      <c r="K79" s="119">
        <f t="shared" si="56"/>
        <v>1739.3600000000001</v>
      </c>
      <c r="L79" s="119">
        <f t="shared" si="56"/>
        <v>1739.3600000000001</v>
      </c>
      <c r="M79" s="119">
        <f t="shared" si="56"/>
        <v>32091.11</v>
      </c>
      <c r="N79" s="123">
        <f>SUM(N70:N75)</f>
        <v>0</v>
      </c>
      <c r="O79" s="48"/>
    </row>
    <row r="80" spans="2:15" ht="30" customHeight="1" x14ac:dyDescent="0.2">
      <c r="B80" s="418" t="s">
        <v>64</v>
      </c>
      <c r="C80" s="419"/>
      <c r="D80" s="420"/>
      <c r="E80" s="420"/>
      <c r="F80" s="420"/>
      <c r="G80" s="420"/>
      <c r="H80" s="420"/>
      <c r="I80" s="420"/>
      <c r="J80" s="420"/>
      <c r="K80" s="420"/>
      <c r="L80" s="420"/>
      <c r="M80" s="420"/>
      <c r="N80" s="421"/>
      <c r="O80" s="48"/>
    </row>
    <row r="81" spans="2:15" s="5" customFormat="1" ht="30" customHeight="1" x14ac:dyDescent="0.2">
      <c r="B81" s="202">
        <v>58</v>
      </c>
      <c r="C81" s="212"/>
      <c r="D81" s="203" t="s">
        <v>210</v>
      </c>
      <c r="E81" s="203" t="s">
        <v>35</v>
      </c>
      <c r="F81" s="74"/>
      <c r="G81" s="204">
        <v>15</v>
      </c>
      <c r="H81" s="215">
        <v>315.13299999999998</v>
      </c>
      <c r="I81" s="118">
        <f>ROUND(G81*H81,2)</f>
        <v>4727</v>
      </c>
      <c r="J81" s="153">
        <f>IFERROR(IF(ROUND((((I81/G81*30.4)-VLOOKUP((I81/G81*30.4),TARIFA,1))*VLOOKUP((I81/G81*30.4),TARIFA,3)+VLOOKUP((I81/G81*30.4),TARIFA,2)-VLOOKUP((I81/G81*30.4),SUBSIDIO,2))/30.4*G81,2)&lt;0,ROUND(-(((I81/G81*30.4)-VLOOKUP((I81/G81*30.4),TARIFA,1))*VLOOKUP((I81/G81*30.4),TARIFA,3)+VLOOKUP((I81/G81*30.4),TARIFA,2)-VLOOKUP((I81/G81*30.4),SUBSIDIO,2))/30.4*G81,2),0),0)</f>
        <v>0</v>
      </c>
      <c r="K81" s="118">
        <f>IF(H81&lt;=248.93,0,(IFERROR(IF(ROUND((((I81/G81*30.4)-VLOOKUP((I81/G81*30.4),TARIFA,1))*VLOOKUP((I81/G81*30.4),TARIFA,3)+VLOOKUP((I81/G81*30.4),TARIFA,2)-VLOOKUP((I81/G81*30.4),SUBSIDIO,2))/30.4*G81,2)&gt;0,ROUND((((I81/G81*30.4)-VLOOKUP((I81/G81*30.4),TARIFA,1))*VLOOKUP((I81/G81*30.4),TARIFA,3)+VLOOKUP((I81/G81*30.4),TARIFA,2)-VLOOKUP((I81/G81*30.4),SUBSIDIO,2))/30.4*G81,2),0),0)))</f>
        <v>357.83</v>
      </c>
      <c r="L81" s="118">
        <f>K81</f>
        <v>357.83</v>
      </c>
      <c r="M81" s="118">
        <f>I81+J81-L81</f>
        <v>4369.17</v>
      </c>
      <c r="N81" s="122"/>
      <c r="O81" s="48"/>
    </row>
    <row r="82" spans="2:15" ht="30" customHeight="1" x14ac:dyDescent="0.2">
      <c r="B82" s="202">
        <v>59</v>
      </c>
      <c r="C82" s="212" t="s">
        <v>353</v>
      </c>
      <c r="D82" s="203" t="s">
        <v>278</v>
      </c>
      <c r="E82" s="203" t="s">
        <v>54</v>
      </c>
      <c r="F82" s="63"/>
      <c r="G82" s="204">
        <v>15</v>
      </c>
      <c r="H82" s="215">
        <v>106.2664</v>
      </c>
      <c r="I82" s="118">
        <f>ROUND(G82*H82,2)</f>
        <v>1594</v>
      </c>
      <c r="J82" s="153">
        <f>IFERROR(IF(ROUND((((I82/G82*30.4)-VLOOKUP((I82/G82*30.4),TARIFA,1))*VLOOKUP((I82/G82*30.4),TARIFA,3)+VLOOKUP((I82/G82*30.4),TARIFA,2)-VLOOKUP((I82/G82*30.4),SUBSIDIO,2))/30.4*G82,2)&lt;0,ROUND(-(((I82/G82*30.4)-VLOOKUP((I82/G82*30.4),TARIFA,1))*VLOOKUP((I82/G82*30.4),TARIFA,3)+VLOOKUP((I82/G82*30.4),TARIFA,2)-VLOOKUP((I82/G82*30.4),SUBSIDIO,2))/30.4*G82,2),0),0)</f>
        <v>115.11</v>
      </c>
      <c r="K82" s="153">
        <f>IF(H82&lt;=248.93,0,(IFERROR(IF(ROUND((((I82/G82*30.4)-VLOOKUP((I82/G82*30.4),TARIFA,1))*VLOOKUP((I82/G82*30.4),TARIFA,3)+VLOOKUP((I82/G82*30.4),TARIFA,2)-VLOOKUP((I82/G82*30.4),SUBSIDIO,2))/30.4*G82,2)&gt;0,ROUND((((I82/G82*30.4)-VLOOKUP((I82/G82*30.4),TARIFA,1))*VLOOKUP((I82/G82*30.4),TARIFA,3)+VLOOKUP((I82/G82*30.4),TARIFA,2)-VLOOKUP((I82/G82*30.4),SUBSIDIO,2))/30.4*G82,2),0),0)))</f>
        <v>0</v>
      </c>
      <c r="L82" s="153">
        <f>K82</f>
        <v>0</v>
      </c>
      <c r="M82" s="118">
        <f>I82+J82-L82</f>
        <v>1709.11</v>
      </c>
      <c r="N82" s="122"/>
      <c r="O82" s="48"/>
    </row>
    <row r="83" spans="2:15" ht="30" customHeight="1" x14ac:dyDescent="0.2">
      <c r="B83" s="202"/>
      <c r="C83" s="212"/>
      <c r="D83" s="203"/>
      <c r="E83" s="214" t="s">
        <v>33</v>
      </c>
      <c r="F83" s="415"/>
      <c r="G83" s="416"/>
      <c r="H83" s="417"/>
      <c r="I83" s="119">
        <f>SUM(I81:I82)</f>
        <v>6321</v>
      </c>
      <c r="J83" s="119">
        <f t="shared" ref="J83:N83" si="57">SUM(J81:J82)</f>
        <v>115.11</v>
      </c>
      <c r="K83" s="119">
        <f t="shared" si="57"/>
        <v>357.83</v>
      </c>
      <c r="L83" s="119">
        <f t="shared" si="57"/>
        <v>357.83</v>
      </c>
      <c r="M83" s="119">
        <f>SUM(M81:M82)</f>
        <v>6078.28</v>
      </c>
      <c r="N83" s="123">
        <f t="shared" si="57"/>
        <v>0</v>
      </c>
      <c r="O83" s="48"/>
    </row>
    <row r="84" spans="2:15" ht="30" customHeight="1" x14ac:dyDescent="0.2">
      <c r="B84" s="418" t="s">
        <v>50</v>
      </c>
      <c r="C84" s="419"/>
      <c r="D84" s="420"/>
      <c r="E84" s="420"/>
      <c r="F84" s="420"/>
      <c r="G84" s="420"/>
      <c r="H84" s="420"/>
      <c r="I84" s="420"/>
      <c r="J84" s="420"/>
      <c r="K84" s="420"/>
      <c r="L84" s="420"/>
      <c r="M84" s="420"/>
      <c r="N84" s="421"/>
      <c r="O84" s="48"/>
    </row>
    <row r="85" spans="2:15" ht="30" customHeight="1" x14ac:dyDescent="0.2">
      <c r="B85" s="202">
        <v>60</v>
      </c>
      <c r="C85" s="212"/>
      <c r="D85" s="219" t="s">
        <v>397</v>
      </c>
      <c r="E85" s="203" t="s">
        <v>42</v>
      </c>
      <c r="F85" s="74"/>
      <c r="G85" s="204">
        <v>15</v>
      </c>
      <c r="H85" s="196">
        <v>104</v>
      </c>
      <c r="I85" s="118">
        <f t="shared" ref="I85:I89" si="58">ROUND(G85*H85,2)</f>
        <v>1560</v>
      </c>
      <c r="J85" s="118">
        <f t="shared" ref="J85:J89" si="59">IFERROR(IF(ROUND((((I85/G85*30.4)-VLOOKUP((I85/G85*30.4),TARIFA,1))*VLOOKUP((I85/G85*30.4),TARIFA,3)+VLOOKUP((I85/G85*30.4),TARIFA,2)-VLOOKUP((I85/G85*30.4),SUBSIDIO,2))/30.4*G85,2)&lt;0,ROUND(-(((I85/G85*30.4)-VLOOKUP((I85/G85*30.4),TARIFA,1))*VLOOKUP((I85/G85*30.4),TARIFA,3)+VLOOKUP((I85/G85*30.4),TARIFA,2)-VLOOKUP((I85/G85*30.4),SUBSIDIO,2))/30.4*G85,2),0),0)</f>
        <v>117.29</v>
      </c>
      <c r="K85" s="153">
        <f t="shared" ref="K85:K89" si="60">IF(H85&lt;=248.93,0,(IFERROR(IF(ROUND((((I85/G85*30.4)-VLOOKUP((I85/G85*30.4),TARIFA,1))*VLOOKUP((I85/G85*30.4),TARIFA,3)+VLOOKUP((I85/G85*30.4),TARIFA,2)-VLOOKUP((I85/G85*30.4),SUBSIDIO,2))/30.4*G85,2)&gt;0,ROUND((((I85/G85*30.4)-VLOOKUP((I85/G85*30.4),TARIFA,1))*VLOOKUP((I85/G85*30.4),TARIFA,3)+VLOOKUP((I85/G85*30.4),TARIFA,2)-VLOOKUP((I85/G85*30.4),SUBSIDIO,2))/30.4*G85,2),0),0)))</f>
        <v>0</v>
      </c>
      <c r="L85" s="153">
        <f t="shared" ref="L85:L89" si="61">K85</f>
        <v>0</v>
      </c>
      <c r="M85" s="118">
        <f t="shared" ref="M85:M89" si="62">I85+J85-L85</f>
        <v>1677.29</v>
      </c>
      <c r="N85" s="122"/>
      <c r="O85" s="48"/>
    </row>
    <row r="86" spans="2:15" ht="30" customHeight="1" x14ac:dyDescent="0.2">
      <c r="B86" s="202">
        <v>61</v>
      </c>
      <c r="C86" s="212" t="s">
        <v>353</v>
      </c>
      <c r="D86" s="219" t="s">
        <v>211</v>
      </c>
      <c r="E86" s="203" t="s">
        <v>71</v>
      </c>
      <c r="F86" s="74"/>
      <c r="G86" s="204">
        <v>15</v>
      </c>
      <c r="H86" s="196">
        <v>149.6</v>
      </c>
      <c r="I86" s="118">
        <f t="shared" si="58"/>
        <v>2244</v>
      </c>
      <c r="J86" s="118">
        <f t="shared" si="59"/>
        <v>47.66</v>
      </c>
      <c r="K86" s="153">
        <f t="shared" si="60"/>
        <v>0</v>
      </c>
      <c r="L86" s="153">
        <f t="shared" si="61"/>
        <v>0</v>
      </c>
      <c r="M86" s="118">
        <f t="shared" si="62"/>
        <v>2291.66</v>
      </c>
      <c r="N86" s="122"/>
      <c r="O86" s="48"/>
    </row>
    <row r="87" spans="2:15" ht="30" customHeight="1" x14ac:dyDescent="0.2">
      <c r="B87" s="202">
        <v>62</v>
      </c>
      <c r="C87" s="212" t="s">
        <v>353</v>
      </c>
      <c r="D87" s="219" t="s">
        <v>365</v>
      </c>
      <c r="E87" s="203" t="s">
        <v>65</v>
      </c>
      <c r="F87" s="74"/>
      <c r="G87" s="204">
        <v>15</v>
      </c>
      <c r="H87" s="196">
        <v>117.8664</v>
      </c>
      <c r="I87" s="118">
        <f t="shared" si="58"/>
        <v>1768</v>
      </c>
      <c r="J87" s="118">
        <f t="shared" si="59"/>
        <v>92.06</v>
      </c>
      <c r="K87" s="153">
        <f t="shared" si="60"/>
        <v>0</v>
      </c>
      <c r="L87" s="153">
        <f t="shared" si="61"/>
        <v>0</v>
      </c>
      <c r="M87" s="118">
        <f t="shared" si="62"/>
        <v>1860.06</v>
      </c>
      <c r="N87" s="122"/>
      <c r="O87" s="48"/>
    </row>
    <row r="88" spans="2:15" ht="30" customHeight="1" x14ac:dyDescent="0.2">
      <c r="B88" s="202">
        <v>63</v>
      </c>
      <c r="C88" s="212" t="s">
        <v>353</v>
      </c>
      <c r="D88" s="219" t="s">
        <v>212</v>
      </c>
      <c r="E88" s="203" t="s">
        <v>65</v>
      </c>
      <c r="F88" s="74"/>
      <c r="G88" s="204">
        <v>15</v>
      </c>
      <c r="H88" s="196">
        <v>117.8664</v>
      </c>
      <c r="I88" s="118">
        <f t="shared" si="58"/>
        <v>1768</v>
      </c>
      <c r="J88" s="118">
        <f t="shared" si="59"/>
        <v>92.06</v>
      </c>
      <c r="K88" s="153">
        <f t="shared" si="60"/>
        <v>0</v>
      </c>
      <c r="L88" s="153">
        <f t="shared" si="61"/>
        <v>0</v>
      </c>
      <c r="M88" s="118">
        <f t="shared" si="62"/>
        <v>1860.06</v>
      </c>
      <c r="N88" s="122"/>
      <c r="O88" s="48"/>
    </row>
    <row r="89" spans="2:15" ht="30" customHeight="1" x14ac:dyDescent="0.2">
      <c r="B89" s="202">
        <v>64</v>
      </c>
      <c r="C89" s="212"/>
      <c r="D89" s="203" t="s">
        <v>213</v>
      </c>
      <c r="E89" s="203" t="s">
        <v>100</v>
      </c>
      <c r="F89" s="74"/>
      <c r="G89" s="204">
        <v>15</v>
      </c>
      <c r="H89" s="196">
        <v>98.666399999999996</v>
      </c>
      <c r="I89" s="118">
        <f t="shared" si="58"/>
        <v>1480</v>
      </c>
      <c r="J89" s="118">
        <f t="shared" si="59"/>
        <v>122.41</v>
      </c>
      <c r="K89" s="153">
        <f t="shared" si="60"/>
        <v>0</v>
      </c>
      <c r="L89" s="153">
        <f t="shared" si="61"/>
        <v>0</v>
      </c>
      <c r="M89" s="118">
        <f t="shared" si="62"/>
        <v>1602.41</v>
      </c>
      <c r="N89" s="122"/>
      <c r="O89" s="48"/>
    </row>
    <row r="90" spans="2:15" ht="30" customHeight="1" x14ac:dyDescent="0.2">
      <c r="B90" s="202"/>
      <c r="C90" s="212"/>
      <c r="D90" s="203"/>
      <c r="E90" s="214" t="s">
        <v>33</v>
      </c>
      <c r="F90" s="415"/>
      <c r="G90" s="416"/>
      <c r="H90" s="417"/>
      <c r="I90" s="119">
        <f t="shared" ref="I90:N90" si="63">SUM(I85:I89)</f>
        <v>8820</v>
      </c>
      <c r="J90" s="119">
        <f t="shared" si="63"/>
        <v>471.48</v>
      </c>
      <c r="K90" s="154">
        <f t="shared" si="63"/>
        <v>0</v>
      </c>
      <c r="L90" s="154">
        <f t="shared" si="63"/>
        <v>0</v>
      </c>
      <c r="M90" s="119">
        <f t="shared" si="63"/>
        <v>9291.48</v>
      </c>
      <c r="N90" s="123">
        <f t="shared" si="63"/>
        <v>0</v>
      </c>
      <c r="O90" s="48"/>
    </row>
    <row r="91" spans="2:15" ht="30" customHeight="1" x14ac:dyDescent="0.2">
      <c r="B91" s="418" t="s">
        <v>52</v>
      </c>
      <c r="C91" s="419"/>
      <c r="D91" s="420"/>
      <c r="E91" s="420"/>
      <c r="F91" s="420"/>
      <c r="G91" s="420"/>
      <c r="H91" s="420"/>
      <c r="I91" s="420"/>
      <c r="J91" s="420"/>
      <c r="K91" s="420"/>
      <c r="L91" s="420"/>
      <c r="M91" s="420"/>
      <c r="N91" s="421"/>
      <c r="O91" s="48"/>
    </row>
    <row r="92" spans="2:15" s="5" customFormat="1" ht="30" customHeight="1" x14ac:dyDescent="0.2">
      <c r="B92" s="202">
        <v>65</v>
      </c>
      <c r="C92" s="212"/>
      <c r="D92" s="219" t="s">
        <v>214</v>
      </c>
      <c r="E92" s="203" t="s">
        <v>94</v>
      </c>
      <c r="F92" s="74"/>
      <c r="G92" s="204">
        <v>15</v>
      </c>
      <c r="H92" s="196">
        <v>110.93300000000001</v>
      </c>
      <c r="I92" s="118">
        <f t="shared" ref="I92:I105" si="64">ROUND(G92*H92,2)</f>
        <v>1664</v>
      </c>
      <c r="J92" s="118">
        <f t="shared" ref="J92:J105" si="65">IFERROR(IF(ROUND((((I92/G92*30.4)-VLOOKUP((I92/G92*30.4),TARIFA,1))*VLOOKUP((I92/G92*30.4),TARIFA,3)+VLOOKUP((I92/G92*30.4),TARIFA,2)-VLOOKUP((I92/G92*30.4),SUBSIDIO,2))/30.4*G92,2)&lt;0,ROUND(-(((I92/G92*30.4)-VLOOKUP((I92/G92*30.4),TARIFA,1))*VLOOKUP((I92/G92*30.4),TARIFA,3)+VLOOKUP((I92/G92*30.4),TARIFA,2)-VLOOKUP((I92/G92*30.4),SUBSIDIO,2))/30.4*G92,2),0),0)</f>
        <v>110.63</v>
      </c>
      <c r="K92" s="153">
        <f t="shared" ref="K92:K105" si="66">IF(H92&lt;=248.93,0,(IFERROR(IF(ROUND((((I92/G92*30.4)-VLOOKUP((I92/G92*30.4),TARIFA,1))*VLOOKUP((I92/G92*30.4),TARIFA,3)+VLOOKUP((I92/G92*30.4),TARIFA,2)-VLOOKUP((I92/G92*30.4),SUBSIDIO,2))/30.4*G92,2)&gt;0,ROUND((((I92/G92*30.4)-VLOOKUP((I92/G92*30.4),TARIFA,1))*VLOOKUP((I92/G92*30.4),TARIFA,3)+VLOOKUP((I92/G92*30.4),TARIFA,2)-VLOOKUP((I92/G92*30.4),SUBSIDIO,2))/30.4*G92,2),0),0)))</f>
        <v>0</v>
      </c>
      <c r="L92" s="153">
        <f t="shared" ref="L92:L105" si="67">K92</f>
        <v>0</v>
      </c>
      <c r="M92" s="118">
        <f t="shared" ref="M92:M105" si="68">I92+J92-L92</f>
        <v>1774.63</v>
      </c>
      <c r="N92" s="122"/>
      <c r="O92" s="48"/>
    </row>
    <row r="93" spans="2:15" ht="30" customHeight="1" x14ac:dyDescent="0.2">
      <c r="B93" s="202">
        <v>66</v>
      </c>
      <c r="C93" s="212"/>
      <c r="D93" s="203" t="s">
        <v>215</v>
      </c>
      <c r="E93" s="203" t="s">
        <v>54</v>
      </c>
      <c r="F93" s="74"/>
      <c r="G93" s="204">
        <v>15</v>
      </c>
      <c r="H93" s="196">
        <v>113.733</v>
      </c>
      <c r="I93" s="118">
        <f t="shared" si="64"/>
        <v>1706</v>
      </c>
      <c r="J93" s="118">
        <f t="shared" si="65"/>
        <v>107.94</v>
      </c>
      <c r="K93" s="153">
        <f t="shared" si="66"/>
        <v>0</v>
      </c>
      <c r="L93" s="153">
        <f t="shared" si="67"/>
        <v>0</v>
      </c>
      <c r="M93" s="118">
        <f t="shared" si="68"/>
        <v>1813.94</v>
      </c>
      <c r="N93" s="122"/>
      <c r="O93" s="48"/>
    </row>
    <row r="94" spans="2:15" ht="30" customHeight="1" x14ac:dyDescent="0.2">
      <c r="B94" s="202">
        <v>67</v>
      </c>
      <c r="C94" s="212" t="s">
        <v>353</v>
      </c>
      <c r="D94" s="203" t="s">
        <v>216</v>
      </c>
      <c r="E94" s="203" t="s">
        <v>110</v>
      </c>
      <c r="F94" s="74"/>
      <c r="G94" s="204">
        <v>15</v>
      </c>
      <c r="H94" s="196">
        <v>93.2</v>
      </c>
      <c r="I94" s="118">
        <f t="shared" si="64"/>
        <v>1398</v>
      </c>
      <c r="J94" s="118">
        <f t="shared" si="65"/>
        <v>127.66</v>
      </c>
      <c r="K94" s="153">
        <f t="shared" si="66"/>
        <v>0</v>
      </c>
      <c r="L94" s="153">
        <f t="shared" si="67"/>
        <v>0</v>
      </c>
      <c r="M94" s="118">
        <f t="shared" si="68"/>
        <v>1525.66</v>
      </c>
      <c r="N94" s="122"/>
      <c r="O94" s="48"/>
    </row>
    <row r="95" spans="2:15" ht="30" customHeight="1" x14ac:dyDescent="0.2">
      <c r="B95" s="202">
        <v>68</v>
      </c>
      <c r="C95" s="212"/>
      <c r="D95" s="203" t="s">
        <v>217</v>
      </c>
      <c r="E95" s="203" t="s">
        <v>103</v>
      </c>
      <c r="F95" s="74"/>
      <c r="G95" s="204">
        <v>15</v>
      </c>
      <c r="H95" s="196">
        <v>295.733</v>
      </c>
      <c r="I95" s="118">
        <f t="shared" si="64"/>
        <v>4436</v>
      </c>
      <c r="J95" s="153">
        <f t="shared" si="65"/>
        <v>0</v>
      </c>
      <c r="K95" s="118">
        <f t="shared" si="66"/>
        <v>326.17</v>
      </c>
      <c r="L95" s="118">
        <f t="shared" si="67"/>
        <v>326.17</v>
      </c>
      <c r="M95" s="118">
        <f t="shared" si="68"/>
        <v>4109.83</v>
      </c>
      <c r="N95" s="122"/>
      <c r="O95" s="48"/>
    </row>
    <row r="96" spans="2:15" s="5" customFormat="1" ht="30" customHeight="1" x14ac:dyDescent="0.2">
      <c r="B96" s="202">
        <v>69</v>
      </c>
      <c r="C96" s="212"/>
      <c r="D96" s="203" t="s">
        <v>218</v>
      </c>
      <c r="E96" s="203" t="s">
        <v>38</v>
      </c>
      <c r="F96" s="74"/>
      <c r="G96" s="204">
        <v>15</v>
      </c>
      <c r="H96" s="196">
        <v>111.6</v>
      </c>
      <c r="I96" s="118">
        <f>ROUND(G96*H96,2)</f>
        <v>1674</v>
      </c>
      <c r="J96" s="118">
        <f t="shared" si="65"/>
        <v>109.99</v>
      </c>
      <c r="K96" s="153">
        <f t="shared" si="66"/>
        <v>0</v>
      </c>
      <c r="L96" s="153">
        <f t="shared" si="67"/>
        <v>0</v>
      </c>
      <c r="M96" s="118">
        <f t="shared" si="68"/>
        <v>1783.99</v>
      </c>
      <c r="N96" s="122"/>
      <c r="O96" s="48"/>
    </row>
    <row r="97" spans="1:15" ht="30" customHeight="1" x14ac:dyDescent="0.2">
      <c r="B97" s="202">
        <v>70</v>
      </c>
      <c r="C97" s="212"/>
      <c r="D97" s="203" t="s">
        <v>219</v>
      </c>
      <c r="E97" s="203" t="s">
        <v>116</v>
      </c>
      <c r="F97" s="74"/>
      <c r="G97" s="204">
        <v>15</v>
      </c>
      <c r="H97" s="196">
        <v>111.6</v>
      </c>
      <c r="I97" s="118">
        <f>ROUND(G97*H97,2)</f>
        <v>1674</v>
      </c>
      <c r="J97" s="118">
        <f t="shared" si="65"/>
        <v>109.99</v>
      </c>
      <c r="K97" s="153">
        <f t="shared" si="66"/>
        <v>0</v>
      </c>
      <c r="L97" s="153">
        <f t="shared" si="67"/>
        <v>0</v>
      </c>
      <c r="M97" s="118">
        <f t="shared" si="68"/>
        <v>1783.99</v>
      </c>
      <c r="N97" s="122"/>
      <c r="O97" s="48"/>
    </row>
    <row r="98" spans="1:15" ht="30" customHeight="1" x14ac:dyDescent="0.2">
      <c r="B98" s="202">
        <v>71</v>
      </c>
      <c r="C98" s="212"/>
      <c r="D98" s="203" t="s">
        <v>221</v>
      </c>
      <c r="E98" s="203" t="s">
        <v>69</v>
      </c>
      <c r="F98" s="204"/>
      <c r="G98" s="204">
        <v>15</v>
      </c>
      <c r="H98" s="196">
        <v>81.666399999999996</v>
      </c>
      <c r="I98" s="118">
        <f t="shared" si="64"/>
        <v>1225</v>
      </c>
      <c r="J98" s="118">
        <f t="shared" si="65"/>
        <v>138.83000000000001</v>
      </c>
      <c r="K98" s="153">
        <f t="shared" si="66"/>
        <v>0</v>
      </c>
      <c r="L98" s="153">
        <f t="shared" si="67"/>
        <v>0</v>
      </c>
      <c r="M98" s="118">
        <f t="shared" si="68"/>
        <v>1363.83</v>
      </c>
      <c r="N98" s="122"/>
      <c r="O98" s="48"/>
    </row>
    <row r="99" spans="1:15" ht="30" customHeight="1" x14ac:dyDescent="0.2">
      <c r="B99" s="202">
        <v>72</v>
      </c>
      <c r="C99" s="212" t="s">
        <v>353</v>
      </c>
      <c r="D99" s="203" t="s">
        <v>220</v>
      </c>
      <c r="E99" s="203" t="s">
        <v>66</v>
      </c>
      <c r="F99" s="74"/>
      <c r="G99" s="204">
        <v>15</v>
      </c>
      <c r="H99" s="196">
        <v>210.46639999999999</v>
      </c>
      <c r="I99" s="118">
        <f t="shared" si="64"/>
        <v>3157</v>
      </c>
      <c r="J99" s="153">
        <f t="shared" si="65"/>
        <v>0</v>
      </c>
      <c r="K99" s="153">
        <f t="shared" si="66"/>
        <v>0</v>
      </c>
      <c r="L99" s="153">
        <f t="shared" si="67"/>
        <v>0</v>
      </c>
      <c r="M99" s="118">
        <f t="shared" si="68"/>
        <v>3157</v>
      </c>
      <c r="N99" s="122"/>
      <c r="O99" s="48"/>
    </row>
    <row r="100" spans="1:15" ht="30" customHeight="1" x14ac:dyDescent="0.2">
      <c r="B100" s="202">
        <v>73</v>
      </c>
      <c r="C100" s="212" t="s">
        <v>353</v>
      </c>
      <c r="D100" s="203" t="s">
        <v>222</v>
      </c>
      <c r="E100" s="203" t="s">
        <v>56</v>
      </c>
      <c r="F100" s="74"/>
      <c r="G100" s="204">
        <v>15</v>
      </c>
      <c r="H100" s="196">
        <v>81.866399999999999</v>
      </c>
      <c r="I100" s="118">
        <f t="shared" si="64"/>
        <v>1228</v>
      </c>
      <c r="J100" s="118">
        <f t="shared" si="65"/>
        <v>138.63999999999999</v>
      </c>
      <c r="K100" s="153">
        <f t="shared" si="66"/>
        <v>0</v>
      </c>
      <c r="L100" s="153">
        <f t="shared" si="67"/>
        <v>0</v>
      </c>
      <c r="M100" s="118">
        <f t="shared" si="68"/>
        <v>1366.6399999999999</v>
      </c>
      <c r="N100" s="122"/>
      <c r="O100" s="48"/>
    </row>
    <row r="101" spans="1:15" ht="30" customHeight="1" x14ac:dyDescent="0.2">
      <c r="B101" s="202">
        <v>74</v>
      </c>
      <c r="C101" s="212" t="s">
        <v>353</v>
      </c>
      <c r="D101" s="203" t="s">
        <v>367</v>
      </c>
      <c r="E101" s="203" t="s">
        <v>56</v>
      </c>
      <c r="F101" s="74"/>
      <c r="G101" s="204">
        <v>15</v>
      </c>
      <c r="H101" s="196">
        <v>81.866399999999999</v>
      </c>
      <c r="I101" s="118">
        <f t="shared" ref="I101" si="69">ROUND(G101*H101,2)</f>
        <v>1228</v>
      </c>
      <c r="J101" s="118">
        <f t="shared" ref="J101" si="70">IFERROR(IF(ROUND((((I101/G101*30.4)-VLOOKUP((I101/G101*30.4),TARIFA,1))*VLOOKUP((I101/G101*30.4),TARIFA,3)+VLOOKUP((I101/G101*30.4),TARIFA,2)-VLOOKUP((I101/G101*30.4),SUBSIDIO,2))/30.4*G101,2)&lt;0,ROUND(-(((I101/G101*30.4)-VLOOKUP((I101/G101*30.4),TARIFA,1))*VLOOKUP((I101/G101*30.4),TARIFA,3)+VLOOKUP((I101/G101*30.4),TARIFA,2)-VLOOKUP((I101/G101*30.4),SUBSIDIO,2))/30.4*G101,2),0),0)</f>
        <v>138.63999999999999</v>
      </c>
      <c r="K101" s="153">
        <f t="shared" si="66"/>
        <v>0</v>
      </c>
      <c r="L101" s="153">
        <f t="shared" ref="L101" si="71">K101</f>
        <v>0</v>
      </c>
      <c r="M101" s="118">
        <f t="shared" ref="M101" si="72">I101+J101-L101</f>
        <v>1366.6399999999999</v>
      </c>
      <c r="N101" s="122"/>
      <c r="O101" s="48"/>
    </row>
    <row r="102" spans="1:15" ht="30" customHeight="1" x14ac:dyDescent="0.2">
      <c r="B102" s="202">
        <v>75</v>
      </c>
      <c r="C102" s="212"/>
      <c r="D102" s="203" t="s">
        <v>223</v>
      </c>
      <c r="E102" s="203" t="s">
        <v>65</v>
      </c>
      <c r="F102" s="74"/>
      <c r="G102" s="204">
        <v>15</v>
      </c>
      <c r="H102" s="196">
        <v>177.53299999999999</v>
      </c>
      <c r="I102" s="118">
        <f t="shared" si="64"/>
        <v>2663</v>
      </c>
      <c r="J102" s="153">
        <f t="shared" si="65"/>
        <v>0</v>
      </c>
      <c r="K102" s="153">
        <f t="shared" si="66"/>
        <v>0</v>
      </c>
      <c r="L102" s="153">
        <f t="shared" si="67"/>
        <v>0</v>
      </c>
      <c r="M102" s="118">
        <f t="shared" si="68"/>
        <v>2663</v>
      </c>
      <c r="N102" s="122"/>
      <c r="O102" s="48"/>
    </row>
    <row r="103" spans="1:15" ht="30" customHeight="1" x14ac:dyDescent="0.2">
      <c r="B103" s="202">
        <v>76</v>
      </c>
      <c r="C103" s="212"/>
      <c r="D103" s="203" t="s">
        <v>224</v>
      </c>
      <c r="E103" s="203" t="s">
        <v>115</v>
      </c>
      <c r="F103" s="74"/>
      <c r="G103" s="204">
        <v>15</v>
      </c>
      <c r="H103" s="196">
        <v>81.866399999999999</v>
      </c>
      <c r="I103" s="118">
        <f t="shared" si="64"/>
        <v>1228</v>
      </c>
      <c r="J103" s="118">
        <f t="shared" si="65"/>
        <v>138.63999999999999</v>
      </c>
      <c r="K103" s="153">
        <f t="shared" si="66"/>
        <v>0</v>
      </c>
      <c r="L103" s="153">
        <f t="shared" si="67"/>
        <v>0</v>
      </c>
      <c r="M103" s="118">
        <f t="shared" si="68"/>
        <v>1366.6399999999999</v>
      </c>
      <c r="N103" s="122"/>
      <c r="O103" s="48"/>
    </row>
    <row r="104" spans="1:15" ht="30" customHeight="1" x14ac:dyDescent="0.2">
      <c r="B104" s="202">
        <v>77</v>
      </c>
      <c r="C104" s="212" t="s">
        <v>353</v>
      </c>
      <c r="D104" s="203" t="s">
        <v>362</v>
      </c>
      <c r="E104" s="203" t="s">
        <v>54</v>
      </c>
      <c r="F104" s="75"/>
      <c r="G104" s="204">
        <v>15</v>
      </c>
      <c r="H104" s="220">
        <v>95</v>
      </c>
      <c r="I104" s="118">
        <f t="shared" si="64"/>
        <v>1425</v>
      </c>
      <c r="J104" s="118">
        <f t="shared" si="65"/>
        <v>125.93</v>
      </c>
      <c r="K104" s="153">
        <f t="shared" si="66"/>
        <v>0</v>
      </c>
      <c r="L104" s="153">
        <f t="shared" si="67"/>
        <v>0</v>
      </c>
      <c r="M104" s="118">
        <f t="shared" si="68"/>
        <v>1550.93</v>
      </c>
      <c r="N104" s="122"/>
      <c r="O104" s="48"/>
    </row>
    <row r="105" spans="1:15" ht="30" customHeight="1" x14ac:dyDescent="0.2">
      <c r="B105" s="202">
        <v>78</v>
      </c>
      <c r="C105" s="212" t="s">
        <v>353</v>
      </c>
      <c r="D105" s="203" t="s">
        <v>146</v>
      </c>
      <c r="E105" s="203" t="s">
        <v>42</v>
      </c>
      <c r="F105" s="75"/>
      <c r="G105" s="204">
        <v>15</v>
      </c>
      <c r="H105" s="220">
        <v>172.2664</v>
      </c>
      <c r="I105" s="118">
        <f t="shared" si="64"/>
        <v>2584</v>
      </c>
      <c r="J105" s="118">
        <f t="shared" si="65"/>
        <v>11.42</v>
      </c>
      <c r="K105" s="153">
        <f t="shared" si="66"/>
        <v>0</v>
      </c>
      <c r="L105" s="153">
        <f t="shared" si="67"/>
        <v>0</v>
      </c>
      <c r="M105" s="118">
        <f t="shared" si="68"/>
        <v>2595.42</v>
      </c>
      <c r="N105" s="122"/>
      <c r="O105" s="48"/>
    </row>
    <row r="106" spans="1:15" ht="30" customHeight="1" x14ac:dyDescent="0.2">
      <c r="B106" s="202"/>
      <c r="C106" s="212"/>
      <c r="D106" s="203"/>
      <c r="E106" s="214" t="s">
        <v>33</v>
      </c>
      <c r="F106" s="415"/>
      <c r="G106" s="416"/>
      <c r="H106" s="417"/>
      <c r="I106" s="119">
        <f>SUM(I92:I105)</f>
        <v>27290</v>
      </c>
      <c r="J106" s="119">
        <f t="shared" ref="J106:N106" si="73">SUM(J92:J105)</f>
        <v>1258.3100000000002</v>
      </c>
      <c r="K106" s="119">
        <f t="shared" si="73"/>
        <v>326.17</v>
      </c>
      <c r="L106" s="119">
        <f t="shared" si="73"/>
        <v>326.17</v>
      </c>
      <c r="M106" s="119">
        <f>SUM(M92:M105)</f>
        <v>28222.14</v>
      </c>
      <c r="N106" s="123">
        <f t="shared" si="73"/>
        <v>0</v>
      </c>
      <c r="O106" s="48"/>
    </row>
    <row r="107" spans="1:15" ht="30" customHeight="1" x14ac:dyDescent="0.2">
      <c r="B107" s="418" t="s">
        <v>53</v>
      </c>
      <c r="C107" s="419"/>
      <c r="D107" s="420"/>
      <c r="E107" s="420"/>
      <c r="F107" s="420"/>
      <c r="G107" s="420"/>
      <c r="H107" s="420"/>
      <c r="I107" s="420"/>
      <c r="J107" s="420"/>
      <c r="K107" s="420"/>
      <c r="L107" s="420"/>
      <c r="M107" s="420"/>
      <c r="N107" s="421"/>
      <c r="O107" s="48"/>
    </row>
    <row r="108" spans="1:15" ht="30" customHeight="1" x14ac:dyDescent="0.2">
      <c r="B108" s="202">
        <v>79</v>
      </c>
      <c r="C108" s="212"/>
      <c r="D108" s="203" t="s">
        <v>183</v>
      </c>
      <c r="E108" s="203" t="s">
        <v>56</v>
      </c>
      <c r="F108" s="74"/>
      <c r="G108" s="204">
        <v>15</v>
      </c>
      <c r="H108" s="196">
        <v>122.8664</v>
      </c>
      <c r="I108" s="118">
        <f t="shared" ref="I108:I121" si="74">ROUND(G108*H108,2)</f>
        <v>1843</v>
      </c>
      <c r="J108" s="118">
        <f t="shared" ref="J108:J121" si="75">IFERROR(IF(ROUND((((I108/G108*30.4)-VLOOKUP((I108/G108*30.4),TARIFA,1))*VLOOKUP((I108/G108*30.4),TARIFA,3)+VLOOKUP((I108/G108*30.4),TARIFA,2)-VLOOKUP((I108/G108*30.4),SUBSIDIO,2))/30.4*G108,2)&lt;0,ROUND(-(((I108/G108*30.4)-VLOOKUP((I108/G108*30.4),TARIFA,1))*VLOOKUP((I108/G108*30.4),TARIFA,3)+VLOOKUP((I108/G108*30.4),TARIFA,2)-VLOOKUP((I108/G108*30.4),SUBSIDIO,2))/30.4*G108,2),0),0)</f>
        <v>87.26</v>
      </c>
      <c r="K108" s="153">
        <f t="shared" ref="K108:K121" si="76">IF(H108&lt;=248.93,0,(IFERROR(IF(ROUND((((I108/G108*30.4)-VLOOKUP((I108/G108*30.4),TARIFA,1))*VLOOKUP((I108/G108*30.4),TARIFA,3)+VLOOKUP((I108/G108*30.4),TARIFA,2)-VLOOKUP((I108/G108*30.4),SUBSIDIO,2))/30.4*G108,2)&gt;0,ROUND((((I108/G108*30.4)-VLOOKUP((I108/G108*30.4),TARIFA,1))*VLOOKUP((I108/G108*30.4),TARIFA,3)+VLOOKUP((I108/G108*30.4),TARIFA,2)-VLOOKUP((I108/G108*30.4),SUBSIDIO,2))/30.4*G108,2),0),0)))</f>
        <v>0</v>
      </c>
      <c r="L108" s="153">
        <f t="shared" ref="L108:L121" si="77">K108</f>
        <v>0</v>
      </c>
      <c r="M108" s="118">
        <f t="shared" ref="M108:M121" si="78">I108+J108-L108</f>
        <v>1930.26</v>
      </c>
      <c r="N108" s="122"/>
      <c r="O108" s="48"/>
    </row>
    <row r="109" spans="1:15" ht="30" customHeight="1" x14ac:dyDescent="0.2">
      <c r="B109" s="202">
        <v>80</v>
      </c>
      <c r="C109" s="212" t="s">
        <v>353</v>
      </c>
      <c r="D109" s="203" t="s">
        <v>159</v>
      </c>
      <c r="E109" s="203" t="s">
        <v>118</v>
      </c>
      <c r="F109" s="74"/>
      <c r="G109" s="204">
        <v>15</v>
      </c>
      <c r="H109" s="196">
        <v>82</v>
      </c>
      <c r="I109" s="118">
        <f t="shared" si="74"/>
        <v>1230</v>
      </c>
      <c r="J109" s="118">
        <f t="shared" si="75"/>
        <v>138.51</v>
      </c>
      <c r="K109" s="153">
        <f t="shared" si="76"/>
        <v>0</v>
      </c>
      <c r="L109" s="153">
        <f t="shared" si="77"/>
        <v>0</v>
      </c>
      <c r="M109" s="118">
        <f t="shared" si="78"/>
        <v>1368.51</v>
      </c>
      <c r="N109" s="122"/>
      <c r="O109" s="48"/>
    </row>
    <row r="110" spans="1:15" ht="30" customHeight="1" x14ac:dyDescent="0.2">
      <c r="A110" s="28">
        <v>82</v>
      </c>
      <c r="B110" s="202">
        <v>81</v>
      </c>
      <c r="C110" s="212"/>
      <c r="D110" s="203" t="s">
        <v>225</v>
      </c>
      <c r="E110" s="203" t="s">
        <v>118</v>
      </c>
      <c r="F110" s="74"/>
      <c r="G110" s="204">
        <v>15</v>
      </c>
      <c r="H110" s="196">
        <v>82</v>
      </c>
      <c r="I110" s="118">
        <f t="shared" si="74"/>
        <v>1230</v>
      </c>
      <c r="J110" s="118">
        <f t="shared" si="75"/>
        <v>138.51</v>
      </c>
      <c r="K110" s="153">
        <f t="shared" si="76"/>
        <v>0</v>
      </c>
      <c r="L110" s="153">
        <f t="shared" si="77"/>
        <v>0</v>
      </c>
      <c r="M110" s="118">
        <f t="shared" si="78"/>
        <v>1368.51</v>
      </c>
      <c r="N110" s="122"/>
      <c r="O110" s="48"/>
    </row>
    <row r="111" spans="1:15" ht="30" customHeight="1" x14ac:dyDescent="0.2">
      <c r="B111" s="202">
        <v>82</v>
      </c>
      <c r="C111" s="212"/>
      <c r="D111" s="203" t="s">
        <v>398</v>
      </c>
      <c r="E111" s="203" t="s">
        <v>65</v>
      </c>
      <c r="F111" s="74"/>
      <c r="G111" s="204">
        <v>15</v>
      </c>
      <c r="H111" s="196">
        <v>195</v>
      </c>
      <c r="I111" s="118">
        <f t="shared" si="74"/>
        <v>2925</v>
      </c>
      <c r="J111" s="153">
        <f t="shared" si="75"/>
        <v>0</v>
      </c>
      <c r="K111" s="153">
        <f t="shared" si="76"/>
        <v>0</v>
      </c>
      <c r="L111" s="153">
        <f>K111</f>
        <v>0</v>
      </c>
      <c r="M111" s="118">
        <f>I111+J111-L111</f>
        <v>2925</v>
      </c>
      <c r="N111" s="122"/>
      <c r="O111" s="48"/>
    </row>
    <row r="112" spans="1:15" ht="30" customHeight="1" x14ac:dyDescent="0.2">
      <c r="B112" s="202">
        <v>83</v>
      </c>
      <c r="C112" s="212" t="s">
        <v>353</v>
      </c>
      <c r="D112" s="203" t="s">
        <v>284</v>
      </c>
      <c r="E112" s="203" t="s">
        <v>65</v>
      </c>
      <c r="F112" s="74"/>
      <c r="G112" s="204">
        <v>15</v>
      </c>
      <c r="H112" s="196">
        <v>193.2</v>
      </c>
      <c r="I112" s="118">
        <f t="shared" ref="I112" si="79">ROUND(G112*H112,2)</f>
        <v>2898</v>
      </c>
      <c r="J112" s="153">
        <f t="shared" ref="J112" si="80">IFERROR(IF(ROUND((((I112/G112*30.4)-VLOOKUP((I112/G112*30.4),TARIFA,1))*VLOOKUP((I112/G112*30.4),TARIFA,3)+VLOOKUP((I112/G112*30.4),TARIFA,2)-VLOOKUP((I112/G112*30.4),SUBSIDIO,2))/30.4*G112,2)&lt;0,ROUND(-(((I112/G112*30.4)-VLOOKUP((I112/G112*30.4),TARIFA,1))*VLOOKUP((I112/G112*30.4),TARIFA,3)+VLOOKUP((I112/G112*30.4),TARIFA,2)-VLOOKUP((I112/G112*30.4),SUBSIDIO,2))/30.4*G112,2),0),0)</f>
        <v>0</v>
      </c>
      <c r="K112" s="153">
        <f t="shared" ref="K112" si="81">IF(H112&lt;=248.93,0,(IFERROR(IF(ROUND((((I112/G112*30.4)-VLOOKUP((I112/G112*30.4),TARIFA,1))*VLOOKUP((I112/G112*30.4),TARIFA,3)+VLOOKUP((I112/G112*30.4),TARIFA,2)-VLOOKUP((I112/G112*30.4),SUBSIDIO,2))/30.4*G112,2)&gt;0,ROUND((((I112/G112*30.4)-VLOOKUP((I112/G112*30.4),TARIFA,1))*VLOOKUP((I112/G112*30.4),TARIFA,3)+VLOOKUP((I112/G112*30.4),TARIFA,2)-VLOOKUP((I112/G112*30.4),SUBSIDIO,2))/30.4*G112,2),0),0)))</f>
        <v>0</v>
      </c>
      <c r="L112" s="153">
        <f>K112</f>
        <v>0</v>
      </c>
      <c r="M112" s="118">
        <f>I112+J112-L112</f>
        <v>2898</v>
      </c>
      <c r="N112" s="122"/>
      <c r="O112" s="48"/>
    </row>
    <row r="113" spans="1:15" ht="30" customHeight="1" x14ac:dyDescent="0.2">
      <c r="B113" s="202">
        <v>84</v>
      </c>
      <c r="C113" s="212" t="s">
        <v>353</v>
      </c>
      <c r="D113" s="203" t="s">
        <v>399</v>
      </c>
      <c r="E113" s="203" t="s">
        <v>67</v>
      </c>
      <c r="F113" s="74"/>
      <c r="G113" s="204">
        <v>15</v>
      </c>
      <c r="H113" s="196">
        <v>104</v>
      </c>
      <c r="I113" s="118">
        <f t="shared" si="74"/>
        <v>1560</v>
      </c>
      <c r="J113" s="118">
        <f t="shared" si="75"/>
        <v>117.29</v>
      </c>
      <c r="K113" s="153">
        <f t="shared" si="76"/>
        <v>0</v>
      </c>
      <c r="L113" s="153">
        <f t="shared" si="77"/>
        <v>0</v>
      </c>
      <c r="M113" s="118">
        <f t="shared" si="78"/>
        <v>1677.29</v>
      </c>
      <c r="N113" s="122"/>
      <c r="O113" s="48"/>
    </row>
    <row r="114" spans="1:15" ht="30" customHeight="1" x14ac:dyDescent="0.2">
      <c r="B114" s="202">
        <v>85</v>
      </c>
      <c r="C114" s="212" t="s">
        <v>353</v>
      </c>
      <c r="D114" s="203" t="s">
        <v>226</v>
      </c>
      <c r="E114" s="203" t="s">
        <v>67</v>
      </c>
      <c r="F114" s="74"/>
      <c r="G114" s="204">
        <v>15</v>
      </c>
      <c r="H114" s="196">
        <v>83.2</v>
      </c>
      <c r="I114" s="118">
        <f t="shared" si="74"/>
        <v>1248</v>
      </c>
      <c r="J114" s="118">
        <f t="shared" si="75"/>
        <v>137.36000000000001</v>
      </c>
      <c r="K114" s="153">
        <f t="shared" si="76"/>
        <v>0</v>
      </c>
      <c r="L114" s="153">
        <f t="shared" si="77"/>
        <v>0</v>
      </c>
      <c r="M114" s="118">
        <f t="shared" si="78"/>
        <v>1385.3600000000001</v>
      </c>
      <c r="N114" s="122"/>
      <c r="O114" s="48"/>
    </row>
    <row r="115" spans="1:15" ht="30" customHeight="1" x14ac:dyDescent="0.2">
      <c r="B115" s="202">
        <v>86</v>
      </c>
      <c r="C115" s="212"/>
      <c r="D115" s="203" t="s">
        <v>149</v>
      </c>
      <c r="E115" s="203" t="s">
        <v>67</v>
      </c>
      <c r="F115" s="74"/>
      <c r="G115" s="204">
        <v>15</v>
      </c>
      <c r="H115" s="196">
        <v>102.6</v>
      </c>
      <c r="I115" s="118">
        <f t="shared" si="74"/>
        <v>1539</v>
      </c>
      <c r="J115" s="118">
        <f t="shared" si="75"/>
        <v>118.63</v>
      </c>
      <c r="K115" s="153">
        <f t="shared" si="76"/>
        <v>0</v>
      </c>
      <c r="L115" s="153">
        <f t="shared" si="77"/>
        <v>0</v>
      </c>
      <c r="M115" s="118">
        <f t="shared" si="78"/>
        <v>1657.63</v>
      </c>
      <c r="N115" s="122"/>
      <c r="O115" s="48"/>
    </row>
    <row r="116" spans="1:15" ht="30" customHeight="1" x14ac:dyDescent="0.2">
      <c r="B116" s="202">
        <v>87</v>
      </c>
      <c r="C116" s="212" t="s">
        <v>353</v>
      </c>
      <c r="D116" s="203" t="s">
        <v>232</v>
      </c>
      <c r="E116" s="203" t="s">
        <v>71</v>
      </c>
      <c r="F116" s="74"/>
      <c r="G116" s="204">
        <v>15</v>
      </c>
      <c r="H116" s="196">
        <v>129.733</v>
      </c>
      <c r="I116" s="118">
        <f t="shared" si="74"/>
        <v>1946</v>
      </c>
      <c r="J116" s="118">
        <f t="shared" si="75"/>
        <v>80.66</v>
      </c>
      <c r="K116" s="153">
        <f t="shared" si="76"/>
        <v>0</v>
      </c>
      <c r="L116" s="153">
        <f t="shared" si="77"/>
        <v>0</v>
      </c>
      <c r="M116" s="118">
        <f t="shared" si="78"/>
        <v>2026.66</v>
      </c>
      <c r="N116" s="122"/>
      <c r="O116" s="48"/>
    </row>
    <row r="117" spans="1:15" ht="30" customHeight="1" x14ac:dyDescent="0.2">
      <c r="B117" s="202">
        <v>88</v>
      </c>
      <c r="C117" s="212"/>
      <c r="D117" s="203" t="s">
        <v>231</v>
      </c>
      <c r="E117" s="203" t="s">
        <v>70</v>
      </c>
      <c r="F117" s="74"/>
      <c r="G117" s="204">
        <v>15</v>
      </c>
      <c r="H117" s="196">
        <v>220.8</v>
      </c>
      <c r="I117" s="118">
        <f t="shared" si="74"/>
        <v>3312</v>
      </c>
      <c r="J117" s="153">
        <f t="shared" si="75"/>
        <v>0</v>
      </c>
      <c r="K117" s="153">
        <f t="shared" si="76"/>
        <v>0</v>
      </c>
      <c r="L117" s="153">
        <f t="shared" si="77"/>
        <v>0</v>
      </c>
      <c r="M117" s="118">
        <f t="shared" si="78"/>
        <v>3312</v>
      </c>
      <c r="N117" s="122"/>
      <c r="O117" s="48"/>
    </row>
    <row r="118" spans="1:15" ht="30" customHeight="1" x14ac:dyDescent="0.2">
      <c r="B118" s="202">
        <v>89</v>
      </c>
      <c r="C118" s="212" t="s">
        <v>353</v>
      </c>
      <c r="D118" s="203" t="s">
        <v>230</v>
      </c>
      <c r="E118" s="203" t="s">
        <v>70</v>
      </c>
      <c r="F118" s="74"/>
      <c r="G118" s="204">
        <v>15</v>
      </c>
      <c r="H118" s="196">
        <v>104</v>
      </c>
      <c r="I118" s="118">
        <f t="shared" si="74"/>
        <v>1560</v>
      </c>
      <c r="J118" s="118">
        <f t="shared" si="75"/>
        <v>117.29</v>
      </c>
      <c r="K118" s="153">
        <f t="shared" si="76"/>
        <v>0</v>
      </c>
      <c r="L118" s="153">
        <f t="shared" si="77"/>
        <v>0</v>
      </c>
      <c r="M118" s="118">
        <f t="shared" si="78"/>
        <v>1677.29</v>
      </c>
      <c r="N118" s="122"/>
      <c r="O118" s="48"/>
    </row>
    <row r="119" spans="1:15" s="315" customFormat="1" ht="30" customHeight="1" x14ac:dyDescent="0.2">
      <c r="A119" s="28"/>
      <c r="B119" s="202">
        <v>90</v>
      </c>
      <c r="C119" s="212" t="s">
        <v>353</v>
      </c>
      <c r="D119" s="203" t="s">
        <v>229</v>
      </c>
      <c r="E119" s="203" t="s">
        <v>37</v>
      </c>
      <c r="F119" s="74"/>
      <c r="G119" s="204">
        <v>15</v>
      </c>
      <c r="H119" s="196">
        <v>138.66640000000001</v>
      </c>
      <c r="I119" s="118">
        <f t="shared" si="74"/>
        <v>2080</v>
      </c>
      <c r="J119" s="118">
        <f t="shared" si="75"/>
        <v>72.09</v>
      </c>
      <c r="K119" s="153">
        <f t="shared" si="76"/>
        <v>0</v>
      </c>
      <c r="L119" s="153">
        <f t="shared" si="77"/>
        <v>0</v>
      </c>
      <c r="M119" s="118">
        <f t="shared" si="78"/>
        <v>2152.09</v>
      </c>
      <c r="N119" s="122"/>
      <c r="O119" s="85"/>
    </row>
    <row r="120" spans="1:15" s="315" customFormat="1" ht="30" customHeight="1" x14ac:dyDescent="0.2">
      <c r="A120" s="28"/>
      <c r="B120" s="202">
        <v>91</v>
      </c>
      <c r="C120" s="212"/>
      <c r="D120" s="203" t="s">
        <v>228</v>
      </c>
      <c r="E120" s="203" t="s">
        <v>119</v>
      </c>
      <c r="F120" s="74"/>
      <c r="G120" s="204">
        <v>15</v>
      </c>
      <c r="H120" s="196">
        <v>133.6</v>
      </c>
      <c r="I120" s="118">
        <f t="shared" si="74"/>
        <v>2004</v>
      </c>
      <c r="J120" s="118">
        <f t="shared" si="75"/>
        <v>76.95</v>
      </c>
      <c r="K120" s="153">
        <f t="shared" si="76"/>
        <v>0</v>
      </c>
      <c r="L120" s="153">
        <f t="shared" si="77"/>
        <v>0</v>
      </c>
      <c r="M120" s="118">
        <f t="shared" si="78"/>
        <v>2080.9499999999998</v>
      </c>
      <c r="N120" s="122"/>
      <c r="O120" s="85"/>
    </row>
    <row r="121" spans="1:15" s="315" customFormat="1" ht="30" customHeight="1" x14ac:dyDescent="0.2">
      <c r="A121" s="28"/>
      <c r="B121" s="202">
        <v>92</v>
      </c>
      <c r="C121" s="212" t="s">
        <v>353</v>
      </c>
      <c r="D121" s="203" t="s">
        <v>227</v>
      </c>
      <c r="E121" s="203" t="s">
        <v>94</v>
      </c>
      <c r="F121" s="74"/>
      <c r="G121" s="204">
        <v>15</v>
      </c>
      <c r="H121" s="196">
        <v>104</v>
      </c>
      <c r="I121" s="118">
        <f t="shared" si="74"/>
        <v>1560</v>
      </c>
      <c r="J121" s="118">
        <f t="shared" si="75"/>
        <v>117.29</v>
      </c>
      <c r="K121" s="153">
        <f t="shared" si="76"/>
        <v>0</v>
      </c>
      <c r="L121" s="153">
        <f t="shared" si="77"/>
        <v>0</v>
      </c>
      <c r="M121" s="118">
        <f t="shared" si="78"/>
        <v>1677.29</v>
      </c>
      <c r="N121" s="122"/>
      <c r="O121" s="85"/>
    </row>
    <row r="122" spans="1:15" ht="30" customHeight="1" x14ac:dyDescent="0.2">
      <c r="B122" s="202"/>
      <c r="C122" s="212"/>
      <c r="D122" s="203"/>
      <c r="E122" s="214" t="s">
        <v>33</v>
      </c>
      <c r="F122" s="415"/>
      <c r="G122" s="416"/>
      <c r="H122" s="417"/>
      <c r="I122" s="119">
        <f>SUM(I108:I121)</f>
        <v>26935</v>
      </c>
      <c r="J122" s="119">
        <f t="shared" ref="J122:N122" si="82">SUM(J108:J121)</f>
        <v>1201.8399999999999</v>
      </c>
      <c r="K122" s="154">
        <f t="shared" si="82"/>
        <v>0</v>
      </c>
      <c r="L122" s="154">
        <f t="shared" si="82"/>
        <v>0</v>
      </c>
      <c r="M122" s="119">
        <f t="shared" si="82"/>
        <v>28136.840000000004</v>
      </c>
      <c r="N122" s="123">
        <f t="shared" si="82"/>
        <v>0</v>
      </c>
      <c r="O122" s="48"/>
    </row>
    <row r="123" spans="1:15" ht="30" customHeight="1" x14ac:dyDescent="0.2">
      <c r="B123" s="418" t="s">
        <v>55</v>
      </c>
      <c r="C123" s="419"/>
      <c r="D123" s="420"/>
      <c r="E123" s="420"/>
      <c r="F123" s="420"/>
      <c r="G123" s="420"/>
      <c r="H123" s="420"/>
      <c r="I123" s="420"/>
      <c r="J123" s="420"/>
      <c r="K123" s="420"/>
      <c r="L123" s="420"/>
      <c r="M123" s="420"/>
      <c r="N123" s="421"/>
      <c r="O123" s="48"/>
    </row>
    <row r="124" spans="1:15" ht="30" customHeight="1" x14ac:dyDescent="0.2">
      <c r="B124" s="202">
        <v>93</v>
      </c>
      <c r="C124" s="212" t="s">
        <v>353</v>
      </c>
      <c r="D124" s="203" t="s">
        <v>233</v>
      </c>
      <c r="E124" s="203" t="s">
        <v>117</v>
      </c>
      <c r="F124" s="74"/>
      <c r="G124" s="204">
        <v>15</v>
      </c>
      <c r="H124" s="215">
        <v>186.2664</v>
      </c>
      <c r="I124" s="118">
        <f t="shared" ref="I124:I128" si="83">ROUND(G124*H124,2)</f>
        <v>2794</v>
      </c>
      <c r="J124" s="153">
        <f t="shared" ref="J124:J128" si="84">IFERROR(IF(ROUND((((I124/G124*30.4)-VLOOKUP((I124/G124*30.4),TARIFA,1))*VLOOKUP((I124/G124*30.4),TARIFA,3)+VLOOKUP((I124/G124*30.4),TARIFA,2)-VLOOKUP((I124/G124*30.4),SUBSIDIO,2))/30.4*G124,2)&lt;0,ROUND(-(((I124/G124*30.4)-VLOOKUP((I124/G124*30.4),TARIFA,1))*VLOOKUP((I124/G124*30.4),TARIFA,3)+VLOOKUP((I124/G124*30.4),TARIFA,2)-VLOOKUP((I124/G124*30.4),SUBSIDIO,2))/30.4*G124,2),0),0)</f>
        <v>0</v>
      </c>
      <c r="K124" s="153">
        <f t="shared" ref="K124:K129" si="85">IF(H124&lt;=248.93,0,(IFERROR(IF(ROUND((((I124/G124*30.4)-VLOOKUP((I124/G124*30.4),TARIFA,1))*VLOOKUP((I124/G124*30.4),TARIFA,3)+VLOOKUP((I124/G124*30.4),TARIFA,2)-VLOOKUP((I124/G124*30.4),SUBSIDIO,2))/30.4*G124,2)&gt;0,ROUND((((I124/G124*30.4)-VLOOKUP((I124/G124*30.4),TARIFA,1))*VLOOKUP((I124/G124*30.4),TARIFA,3)+VLOOKUP((I124/G124*30.4),TARIFA,2)-VLOOKUP((I124/G124*30.4),SUBSIDIO,2))/30.4*G124,2),0),0)))</f>
        <v>0</v>
      </c>
      <c r="L124" s="153">
        <f t="shared" ref="L124:L128" si="86">K124</f>
        <v>0</v>
      </c>
      <c r="M124" s="118">
        <f t="shared" ref="M124:M128" si="87">I124+J124-L124</f>
        <v>2794</v>
      </c>
      <c r="N124" s="122"/>
      <c r="O124" s="48"/>
    </row>
    <row r="125" spans="1:15" ht="30" customHeight="1" x14ac:dyDescent="0.2">
      <c r="B125" s="202">
        <v>94</v>
      </c>
      <c r="C125" s="212" t="s">
        <v>353</v>
      </c>
      <c r="D125" s="203" t="s">
        <v>234</v>
      </c>
      <c r="E125" s="203" t="s">
        <v>56</v>
      </c>
      <c r="F125" s="74"/>
      <c r="G125" s="204">
        <v>15</v>
      </c>
      <c r="H125" s="215">
        <v>138.66640000000001</v>
      </c>
      <c r="I125" s="118">
        <f t="shared" si="83"/>
        <v>2080</v>
      </c>
      <c r="J125" s="118">
        <f t="shared" si="84"/>
        <v>72.09</v>
      </c>
      <c r="K125" s="153">
        <f t="shared" si="85"/>
        <v>0</v>
      </c>
      <c r="L125" s="153">
        <f t="shared" si="86"/>
        <v>0</v>
      </c>
      <c r="M125" s="118">
        <f t="shared" si="87"/>
        <v>2152.09</v>
      </c>
      <c r="N125" s="122"/>
      <c r="O125" s="48"/>
    </row>
    <row r="126" spans="1:15" ht="30" customHeight="1" x14ac:dyDescent="0.2">
      <c r="B126" s="202">
        <v>95</v>
      </c>
      <c r="C126" s="212"/>
      <c r="D126" s="203" t="s">
        <v>235</v>
      </c>
      <c r="E126" s="203" t="s">
        <v>119</v>
      </c>
      <c r="F126" s="63"/>
      <c r="G126" s="204">
        <v>15</v>
      </c>
      <c r="H126" s="215">
        <v>261.8</v>
      </c>
      <c r="I126" s="118">
        <f t="shared" si="83"/>
        <v>3927</v>
      </c>
      <c r="J126" s="153">
        <f t="shared" si="84"/>
        <v>0</v>
      </c>
      <c r="K126" s="118">
        <f t="shared" si="85"/>
        <v>270.79000000000002</v>
      </c>
      <c r="L126" s="118">
        <f t="shared" si="86"/>
        <v>270.79000000000002</v>
      </c>
      <c r="M126" s="118">
        <f t="shared" si="87"/>
        <v>3656.21</v>
      </c>
      <c r="N126" s="122"/>
      <c r="O126" s="48"/>
    </row>
    <row r="127" spans="1:15" ht="30" customHeight="1" x14ac:dyDescent="0.2">
      <c r="B127" s="202">
        <v>96</v>
      </c>
      <c r="C127" s="212" t="s">
        <v>353</v>
      </c>
      <c r="D127" s="203" t="s">
        <v>236</v>
      </c>
      <c r="E127" s="203" t="s">
        <v>69</v>
      </c>
      <c r="F127" s="74"/>
      <c r="G127" s="204">
        <v>15</v>
      </c>
      <c r="H127" s="215">
        <v>125.533</v>
      </c>
      <c r="I127" s="118">
        <f t="shared" si="83"/>
        <v>1883</v>
      </c>
      <c r="J127" s="118">
        <f t="shared" si="84"/>
        <v>84.7</v>
      </c>
      <c r="K127" s="153">
        <f t="shared" si="85"/>
        <v>0</v>
      </c>
      <c r="L127" s="153">
        <f t="shared" si="86"/>
        <v>0</v>
      </c>
      <c r="M127" s="118">
        <f t="shared" si="87"/>
        <v>1967.7</v>
      </c>
      <c r="N127" s="122"/>
      <c r="O127" s="48"/>
    </row>
    <row r="128" spans="1:15" ht="30" customHeight="1" x14ac:dyDescent="0.2">
      <c r="B128" s="202">
        <v>97</v>
      </c>
      <c r="C128" s="212" t="s">
        <v>353</v>
      </c>
      <c r="D128" s="203" t="s">
        <v>359</v>
      </c>
      <c r="E128" s="203" t="s">
        <v>357</v>
      </c>
      <c r="F128" s="74"/>
      <c r="G128" s="204">
        <v>15</v>
      </c>
      <c r="H128" s="215">
        <v>102.46639999999999</v>
      </c>
      <c r="I128" s="118">
        <f t="shared" si="83"/>
        <v>1537</v>
      </c>
      <c r="J128" s="118">
        <f t="shared" si="84"/>
        <v>118.76</v>
      </c>
      <c r="K128" s="153">
        <f t="shared" si="85"/>
        <v>0</v>
      </c>
      <c r="L128" s="153">
        <f t="shared" si="86"/>
        <v>0</v>
      </c>
      <c r="M128" s="118">
        <f t="shared" si="87"/>
        <v>1655.76</v>
      </c>
      <c r="N128" s="122"/>
      <c r="O128" s="48"/>
    </row>
    <row r="129" spans="1:15" ht="44.45" customHeight="1" x14ac:dyDescent="0.2">
      <c r="B129" s="202">
        <v>98</v>
      </c>
      <c r="C129" s="212" t="s">
        <v>353</v>
      </c>
      <c r="D129" s="203" t="s">
        <v>392</v>
      </c>
      <c r="E129" s="203" t="s">
        <v>393</v>
      </c>
      <c r="F129" s="74"/>
      <c r="G129" s="204">
        <v>15</v>
      </c>
      <c r="H129" s="215">
        <v>95.2</v>
      </c>
      <c r="I129" s="118">
        <f t="shared" ref="I129" si="88">ROUND(G129*H129,2)</f>
        <v>1428</v>
      </c>
      <c r="J129" s="118">
        <f t="shared" ref="J129" si="89">IFERROR(IF(ROUND((((I129/G129*30.4)-VLOOKUP((I129/G129*30.4),TARIFA,1))*VLOOKUP((I129/G129*30.4),TARIFA,3)+VLOOKUP((I129/G129*30.4),TARIFA,2)-VLOOKUP((I129/G129*30.4),SUBSIDIO,2))/30.4*G129,2)&lt;0,ROUND(-(((I129/G129*30.4)-VLOOKUP((I129/G129*30.4),TARIFA,1))*VLOOKUP((I129/G129*30.4),TARIFA,3)+VLOOKUP((I129/G129*30.4),TARIFA,2)-VLOOKUP((I129/G129*30.4),SUBSIDIO,2))/30.4*G129,2),0),0)</f>
        <v>125.74</v>
      </c>
      <c r="K129" s="153">
        <f t="shared" si="85"/>
        <v>0</v>
      </c>
      <c r="L129" s="153">
        <f t="shared" ref="L129" si="90">K129</f>
        <v>0</v>
      </c>
      <c r="M129" s="118">
        <f t="shared" ref="M129" si="91">I129+J129-L129</f>
        <v>1553.74</v>
      </c>
      <c r="N129" s="122"/>
      <c r="O129" s="48"/>
    </row>
    <row r="130" spans="1:15" ht="30" customHeight="1" x14ac:dyDescent="0.2">
      <c r="B130" s="202"/>
      <c r="C130" s="212"/>
      <c r="D130" s="203"/>
      <c r="E130" s="214" t="s">
        <v>33</v>
      </c>
      <c r="F130" s="415"/>
      <c r="G130" s="416"/>
      <c r="H130" s="417"/>
      <c r="I130" s="119">
        <f>SUM(I124:I129)</f>
        <v>13649</v>
      </c>
      <c r="J130" s="119">
        <f t="shared" ref="J130:L130" si="92">SUM(J124:J129)</f>
        <v>401.29</v>
      </c>
      <c r="K130" s="119">
        <f t="shared" si="92"/>
        <v>270.79000000000002</v>
      </c>
      <c r="L130" s="119">
        <f t="shared" si="92"/>
        <v>270.79000000000002</v>
      </c>
      <c r="M130" s="119">
        <f>SUM(M124:M129)</f>
        <v>13779.5</v>
      </c>
      <c r="N130" s="123">
        <f>SUM(N124:N127)</f>
        <v>0</v>
      </c>
      <c r="O130" s="48"/>
    </row>
    <row r="131" spans="1:15" ht="30" customHeight="1" x14ac:dyDescent="0.2">
      <c r="B131" s="418" t="s">
        <v>57</v>
      </c>
      <c r="C131" s="419"/>
      <c r="D131" s="420"/>
      <c r="E131" s="420"/>
      <c r="F131" s="420"/>
      <c r="G131" s="420"/>
      <c r="H131" s="420"/>
      <c r="I131" s="420"/>
      <c r="J131" s="420"/>
      <c r="K131" s="420"/>
      <c r="L131" s="420"/>
      <c r="M131" s="420"/>
      <c r="N131" s="421"/>
      <c r="O131" s="48"/>
    </row>
    <row r="132" spans="1:15" s="4" customFormat="1" ht="30" customHeight="1" x14ac:dyDescent="0.2">
      <c r="B132" s="221">
        <v>99</v>
      </c>
      <c r="C132" s="222"/>
      <c r="D132" s="203" t="s">
        <v>237</v>
      </c>
      <c r="E132" s="219" t="s">
        <v>68</v>
      </c>
      <c r="F132" s="63"/>
      <c r="G132" s="63">
        <v>15</v>
      </c>
      <c r="H132" s="223">
        <v>203.8664</v>
      </c>
      <c r="I132" s="118">
        <f t="shared" ref="I132:I135" si="93">ROUND(G132*H132,2)</f>
        <v>3058</v>
      </c>
      <c r="J132" s="153">
        <f>IFERROR(IF(ROUND((((I132/G132*30.4)-VLOOKUP((I132/G132*30.4),TARIFA,1))*VLOOKUP((I132/G132*30.4),TARIFA,3)+VLOOKUP((I132/G132*30.4),TARIFA,2)-VLOOKUP((I132/G132*30.4),SUBSIDIO,2))/30.4*G132,2)&lt;0,ROUND(-(((I132/G132*30.4)-VLOOKUP((I132/G132*30.4),TARIFA,1))*VLOOKUP((I132/G132*30.4),TARIFA,3)+VLOOKUP((I132/G132*30.4),TARIFA,2)-VLOOKUP((I132/G132*30.4),SUBSIDIO,2))/30.4*G132,2),0),0)</f>
        <v>0</v>
      </c>
      <c r="K132" s="153">
        <f>IF(H132&lt;=248.93,0,(IFERROR(IF(ROUND((((I132/G132*30.4)-VLOOKUP((I132/G132*30.4),TARIFA,1))*VLOOKUP((I132/G132*30.4),TARIFA,3)+VLOOKUP((I132/G132*30.4),TARIFA,2)-VLOOKUP((I132/G132*30.4),SUBSIDIO,2))/30.4*G132,2)&gt;0,ROUND((((I132/G132*30.4)-VLOOKUP((I132/G132*30.4),TARIFA,1))*VLOOKUP((I132/G132*30.4),TARIFA,3)+VLOOKUP((I132/G132*30.4),TARIFA,2)-VLOOKUP((I132/G132*30.4),SUBSIDIO,2))/30.4*G132,2),0),0)))</f>
        <v>0</v>
      </c>
      <c r="L132" s="153">
        <f>K132</f>
        <v>0</v>
      </c>
      <c r="M132" s="118">
        <f>I132+J132-L132</f>
        <v>3058</v>
      </c>
      <c r="N132" s="122"/>
      <c r="O132" s="48"/>
    </row>
    <row r="133" spans="1:15" s="4" customFormat="1" ht="30" customHeight="1" x14ac:dyDescent="0.2">
      <c r="B133" s="221">
        <v>100</v>
      </c>
      <c r="C133" s="222"/>
      <c r="D133" s="203" t="s">
        <v>238</v>
      </c>
      <c r="E133" s="219" t="s">
        <v>42</v>
      </c>
      <c r="F133" s="63"/>
      <c r="G133" s="63">
        <v>15</v>
      </c>
      <c r="H133" s="223">
        <v>46</v>
      </c>
      <c r="I133" s="118">
        <f t="shared" si="93"/>
        <v>690</v>
      </c>
      <c r="J133" s="118">
        <f>IFERROR(IF(ROUND((((I133/G133*30.4)-VLOOKUP((I133/G133*30.4),TARIFA,1))*VLOOKUP((I133/G133*30.4),TARIFA,3)+VLOOKUP((I133/G133*30.4),TARIFA,2)-VLOOKUP((I133/G133*30.4),SUBSIDIO,2))/30.4*G133,2)&lt;0,ROUND(-(((I133/G133*30.4)-VLOOKUP((I133/G133*30.4),TARIFA,1))*VLOOKUP((I133/G133*30.4),TARIFA,3)+VLOOKUP((I133/G133*30.4),TARIFA,2)-VLOOKUP((I133/G133*30.4),SUBSIDIO,2))/30.4*G133,2),0),0)</f>
        <v>173.17</v>
      </c>
      <c r="K133" s="153">
        <f>IF(H133&lt;=248.93,0,(IFERROR(IF(ROUND((((I133/G133*30.4)-VLOOKUP((I133/G133*30.4),TARIFA,1))*VLOOKUP((I133/G133*30.4),TARIFA,3)+VLOOKUP((I133/G133*30.4),TARIFA,2)-VLOOKUP((I133/G133*30.4),SUBSIDIO,2))/30.4*G133,2)&gt;0,ROUND((((I133/G133*30.4)-VLOOKUP((I133/G133*30.4),TARIFA,1))*VLOOKUP((I133/G133*30.4),TARIFA,3)+VLOOKUP((I133/G133*30.4),TARIFA,2)-VLOOKUP((I133/G133*30.4),SUBSIDIO,2))/30.4*G133,2),0),0)))</f>
        <v>0</v>
      </c>
      <c r="L133" s="153">
        <f>K133</f>
        <v>0</v>
      </c>
      <c r="M133" s="118">
        <f>I133+J133-L133</f>
        <v>863.17</v>
      </c>
      <c r="N133" s="122"/>
      <c r="O133" s="48"/>
    </row>
    <row r="134" spans="1:15" s="5" customFormat="1" ht="30" customHeight="1" x14ac:dyDescent="0.2">
      <c r="B134" s="202">
        <v>101</v>
      </c>
      <c r="C134" s="212" t="s">
        <v>353</v>
      </c>
      <c r="D134" s="219" t="s">
        <v>239</v>
      </c>
      <c r="E134" s="203" t="s">
        <v>93</v>
      </c>
      <c r="F134" s="74"/>
      <c r="G134" s="204">
        <v>15</v>
      </c>
      <c r="H134" s="196">
        <v>277.33300000000003</v>
      </c>
      <c r="I134" s="118">
        <f t="shared" si="93"/>
        <v>4160</v>
      </c>
      <c r="J134" s="153">
        <f>IFERROR(IF(ROUND((((I134/G134*30.4)-VLOOKUP((I134/G134*30.4),TARIFA,1))*VLOOKUP((I134/G134*30.4),TARIFA,3)+VLOOKUP((I134/G134*30.4),TARIFA,2)-VLOOKUP((I134/G134*30.4),SUBSIDIO,2))/30.4*G134,2)&lt;0,ROUND(-(((I134/G134*30.4)-VLOOKUP((I134/G134*30.4),TARIFA,1))*VLOOKUP((I134/G134*30.4),TARIFA,3)+VLOOKUP((I134/G134*30.4),TARIFA,2)-VLOOKUP((I134/G134*30.4),SUBSIDIO,2))/30.4*G134,2),0),0)</f>
        <v>0</v>
      </c>
      <c r="K134" s="118">
        <f>IF(H134&lt;=248.93,0,(IFERROR(IF(ROUND((((I134/G134*30.4)-VLOOKUP((I134/G134*30.4),TARIFA,1))*VLOOKUP((I134/G134*30.4),TARIFA,3)+VLOOKUP((I134/G134*30.4),TARIFA,2)-VLOOKUP((I134/G134*30.4),SUBSIDIO,2))/30.4*G134,2)&gt;0,ROUND((((I134/G134*30.4)-VLOOKUP((I134/G134*30.4),TARIFA,1))*VLOOKUP((I134/G134*30.4),TARIFA,3)+VLOOKUP((I134/G134*30.4),TARIFA,2)-VLOOKUP((I134/G134*30.4),SUBSIDIO,2))/30.4*G134,2),0),0)))</f>
        <v>296.14999999999998</v>
      </c>
      <c r="L134" s="118">
        <f>K134</f>
        <v>296.14999999999998</v>
      </c>
      <c r="M134" s="118">
        <f>I134+J134-L134</f>
        <v>3863.85</v>
      </c>
      <c r="N134" s="122"/>
      <c r="O134" s="48"/>
    </row>
    <row r="135" spans="1:15" s="5" customFormat="1" ht="30" customHeight="1" x14ac:dyDescent="0.2">
      <c r="B135" s="202">
        <v>102</v>
      </c>
      <c r="C135" s="212" t="s">
        <v>353</v>
      </c>
      <c r="D135" s="219" t="s">
        <v>162</v>
      </c>
      <c r="E135" s="203" t="s">
        <v>54</v>
      </c>
      <c r="F135" s="75"/>
      <c r="G135" s="204">
        <v>15</v>
      </c>
      <c r="H135" s="220">
        <v>95.266400000000004</v>
      </c>
      <c r="I135" s="118">
        <f t="shared" si="93"/>
        <v>1429</v>
      </c>
      <c r="J135" s="118">
        <f>IFERROR(IF(ROUND((((I135/G135*30.4)-VLOOKUP((I135/G135*30.4),TARIFA,1))*VLOOKUP((I135/G135*30.4),TARIFA,3)+VLOOKUP((I135/G135*30.4),TARIFA,2)-VLOOKUP((I135/G135*30.4),SUBSIDIO,2))/30.4*G135,2)&lt;0,ROUND(-(((I135/G135*30.4)-VLOOKUP((I135/G135*30.4),TARIFA,1))*VLOOKUP((I135/G135*30.4),TARIFA,3)+VLOOKUP((I135/G135*30.4),TARIFA,2)-VLOOKUP((I135/G135*30.4),SUBSIDIO,2))/30.4*G135,2),0),0)</f>
        <v>125.67</v>
      </c>
      <c r="K135" s="153">
        <f>IF(H135&lt;=248.93,0,(IFERROR(IF(ROUND((((I135/G135*30.4)-VLOOKUP((I135/G135*30.4),TARIFA,1))*VLOOKUP((I135/G135*30.4),TARIFA,3)+VLOOKUP((I135/G135*30.4),TARIFA,2)-VLOOKUP((I135/G135*30.4),SUBSIDIO,2))/30.4*G135,2)&gt;0,ROUND((((I135/G135*30.4)-VLOOKUP((I135/G135*30.4),TARIFA,1))*VLOOKUP((I135/G135*30.4),TARIFA,3)+VLOOKUP((I135/G135*30.4),TARIFA,2)-VLOOKUP((I135/G135*30.4),SUBSIDIO,2))/30.4*G135,2),0),0)))</f>
        <v>0</v>
      </c>
      <c r="L135" s="153">
        <f>K135</f>
        <v>0</v>
      </c>
      <c r="M135" s="118">
        <f>I135+J135-L135</f>
        <v>1554.67</v>
      </c>
      <c r="N135" s="122"/>
      <c r="O135" s="48"/>
    </row>
    <row r="136" spans="1:15" ht="30" customHeight="1" x14ac:dyDescent="0.2">
      <c r="B136" s="202"/>
      <c r="C136" s="212"/>
      <c r="D136" s="203"/>
      <c r="E136" s="214" t="s">
        <v>33</v>
      </c>
      <c r="F136" s="415"/>
      <c r="G136" s="416"/>
      <c r="H136" s="417"/>
      <c r="I136" s="119">
        <f>SUM(I132:I135)</f>
        <v>9337</v>
      </c>
      <c r="J136" s="119">
        <f t="shared" ref="J136:N136" si="94">SUM(J132:J135)</f>
        <v>298.83999999999997</v>
      </c>
      <c r="K136" s="119">
        <f t="shared" si="94"/>
        <v>296.14999999999998</v>
      </c>
      <c r="L136" s="119">
        <f t="shared" si="94"/>
        <v>296.14999999999998</v>
      </c>
      <c r="M136" s="119">
        <f>SUM(M132:M135)</f>
        <v>9339.69</v>
      </c>
      <c r="N136" s="123">
        <f t="shared" si="94"/>
        <v>0</v>
      </c>
      <c r="O136" s="48"/>
    </row>
    <row r="137" spans="1:15" ht="30" customHeight="1" x14ac:dyDescent="0.2">
      <c r="B137" s="418" t="s">
        <v>73</v>
      </c>
      <c r="C137" s="419"/>
      <c r="D137" s="420"/>
      <c r="E137" s="420"/>
      <c r="F137" s="420"/>
      <c r="G137" s="420"/>
      <c r="H137" s="420"/>
      <c r="I137" s="420"/>
      <c r="J137" s="420"/>
      <c r="K137" s="420"/>
      <c r="L137" s="420"/>
      <c r="M137" s="420"/>
      <c r="N137" s="421"/>
      <c r="O137" s="48"/>
    </row>
    <row r="138" spans="1:15" ht="30" customHeight="1" x14ac:dyDescent="0.2">
      <c r="B138" s="202">
        <v>103</v>
      </c>
      <c r="C138" s="212"/>
      <c r="D138" s="203" t="s">
        <v>240</v>
      </c>
      <c r="E138" s="203" t="s">
        <v>60</v>
      </c>
      <c r="F138" s="74"/>
      <c r="G138" s="204">
        <v>15</v>
      </c>
      <c r="H138" s="196">
        <v>270.39999999999998</v>
      </c>
      <c r="I138" s="118">
        <f>ROUND(G138*H138,2)</f>
        <v>4056</v>
      </c>
      <c r="J138" s="153">
        <f>IFERROR(IF(ROUND((((I138/G138*30.4)-VLOOKUP((I138/G138*30.4),TARIFA,1))*VLOOKUP((I138/G138*30.4),TARIFA,3)+VLOOKUP((I138/G138*30.4),TARIFA,2)-VLOOKUP((I138/G138*30.4),SUBSIDIO,2))/30.4*G138,2)&lt;0,ROUND(-(((I138/G138*30.4)-VLOOKUP((I138/G138*30.4),TARIFA,1))*VLOOKUP((I138/G138*30.4),TARIFA,3)+VLOOKUP((I138/G138*30.4),TARIFA,2)-VLOOKUP((I138/G138*30.4),SUBSIDIO,2))/30.4*G138,2),0),0)</f>
        <v>0</v>
      </c>
      <c r="K138" s="118">
        <f>IF(H138&lt;=248.93,0,(IFERROR(IF(ROUND((((I138/G138*30.4)-VLOOKUP((I138/G138*30.4),TARIFA,1))*VLOOKUP((I138/G138*30.4),TARIFA,3)+VLOOKUP((I138/G138*30.4),TARIFA,2)-VLOOKUP((I138/G138*30.4),SUBSIDIO,2))/30.4*G138,2)&gt;0,ROUND((((I138/G138*30.4)-VLOOKUP((I138/G138*30.4),TARIFA,1))*VLOOKUP((I138/G138*30.4),TARIFA,3)+VLOOKUP((I138/G138*30.4),TARIFA,2)-VLOOKUP((I138/G138*30.4),SUBSIDIO,2))/30.4*G138,2),0),0)))</f>
        <v>284.83</v>
      </c>
      <c r="L138" s="118">
        <f>K138</f>
        <v>284.83</v>
      </c>
      <c r="M138" s="118">
        <f>I138+J138-L138</f>
        <v>3771.17</v>
      </c>
      <c r="N138" s="122"/>
      <c r="O138" s="48"/>
    </row>
    <row r="139" spans="1:15" ht="30" customHeight="1" x14ac:dyDescent="0.2">
      <c r="B139" s="202"/>
      <c r="C139" s="212"/>
      <c r="D139" s="203"/>
      <c r="E139" s="214" t="s">
        <v>33</v>
      </c>
      <c r="F139" s="224"/>
      <c r="G139" s="415"/>
      <c r="H139" s="417"/>
      <c r="I139" s="119">
        <f t="shared" ref="I139:N139" si="95">SUM(I138:I138)</f>
        <v>4056</v>
      </c>
      <c r="J139" s="154">
        <f t="shared" si="95"/>
        <v>0</v>
      </c>
      <c r="K139" s="119">
        <f t="shared" si="95"/>
        <v>284.83</v>
      </c>
      <c r="L139" s="119">
        <f t="shared" si="95"/>
        <v>284.83</v>
      </c>
      <c r="M139" s="119">
        <f t="shared" si="95"/>
        <v>3771.17</v>
      </c>
      <c r="N139" s="123">
        <f t="shared" si="95"/>
        <v>0</v>
      </c>
      <c r="O139" s="48"/>
    </row>
    <row r="140" spans="1:15" ht="30" customHeight="1" x14ac:dyDescent="0.2">
      <c r="B140" s="425" t="s">
        <v>104</v>
      </c>
      <c r="C140" s="426"/>
      <c r="D140" s="427"/>
      <c r="E140" s="427"/>
      <c r="F140" s="427"/>
      <c r="G140" s="427"/>
      <c r="H140" s="427"/>
      <c r="I140" s="427"/>
      <c r="J140" s="427"/>
      <c r="K140" s="427"/>
      <c r="L140" s="427"/>
      <c r="M140" s="427"/>
      <c r="N140" s="428"/>
      <c r="O140" s="48"/>
    </row>
    <row r="141" spans="1:15" s="5" customFormat="1" ht="30" customHeight="1" x14ac:dyDescent="0.2">
      <c r="B141" s="202">
        <v>104</v>
      </c>
      <c r="C141" s="212"/>
      <c r="D141" s="203" t="s">
        <v>241</v>
      </c>
      <c r="E141" s="203" t="s">
        <v>42</v>
      </c>
      <c r="F141" s="74"/>
      <c r="G141" s="204">
        <v>15</v>
      </c>
      <c r="H141" s="215">
        <v>277.33300000000003</v>
      </c>
      <c r="I141" s="118">
        <f>ROUND(G141*H141,2)</f>
        <v>4160</v>
      </c>
      <c r="J141" s="153">
        <f>IFERROR(IF(ROUND((((I141/G141*30.4)-VLOOKUP((I141/G141*30.4),TARIFA,1))*VLOOKUP((I141/G141*30.4),TARIFA,3)+VLOOKUP((I141/G141*30.4),TARIFA,2)-VLOOKUP((I141/G141*30.4),SUBSIDIO,2))/30.4*G141,2)&lt;0,ROUND(-(((I141/G141*30.4)-VLOOKUP((I141/G141*30.4),TARIFA,1))*VLOOKUP((I141/G141*30.4),TARIFA,3)+VLOOKUP((I141/G141*30.4),TARIFA,2)-VLOOKUP((I141/G141*30.4),SUBSIDIO,2))/30.4*G141,2),0),0)</f>
        <v>0</v>
      </c>
      <c r="K141" s="118">
        <f>IF(H141&lt;=248.93,0,(IFERROR(IF(ROUND((((I141/G141*30.4)-VLOOKUP((I141/G141*30.4),TARIFA,1))*VLOOKUP((I141/G141*30.4),TARIFA,3)+VLOOKUP((I141/G141*30.4),TARIFA,2)-VLOOKUP((I141/G141*30.4),SUBSIDIO,2))/30.4*G141,2)&gt;0,ROUND((((I141/G141*30.4)-VLOOKUP((I141/G141*30.4),TARIFA,1))*VLOOKUP((I141/G141*30.4),TARIFA,3)+VLOOKUP((I141/G141*30.4),TARIFA,2)-VLOOKUP((I141/G141*30.4),SUBSIDIO,2))/30.4*G141,2),0),0)))</f>
        <v>296.14999999999998</v>
      </c>
      <c r="L141" s="118">
        <f>K141</f>
        <v>296.14999999999998</v>
      </c>
      <c r="M141" s="118">
        <f>I141+J141-L141</f>
        <v>3863.85</v>
      </c>
      <c r="N141" s="122"/>
      <c r="O141" s="48"/>
    </row>
    <row r="142" spans="1:15" ht="30" customHeight="1" x14ac:dyDescent="0.2">
      <c r="B142" s="202"/>
      <c r="C142" s="212"/>
      <c r="D142" s="203"/>
      <c r="E142" s="214" t="s">
        <v>33</v>
      </c>
      <c r="F142" s="224"/>
      <c r="G142" s="415"/>
      <c r="H142" s="417"/>
      <c r="I142" s="119">
        <f t="shared" ref="I142:N142" si="96">SUM(I141:I141)</f>
        <v>4160</v>
      </c>
      <c r="J142" s="154">
        <f t="shared" si="96"/>
        <v>0</v>
      </c>
      <c r="K142" s="119">
        <f t="shared" si="96"/>
        <v>296.14999999999998</v>
      </c>
      <c r="L142" s="119">
        <f t="shared" si="96"/>
        <v>296.14999999999998</v>
      </c>
      <c r="M142" s="119">
        <f t="shared" si="96"/>
        <v>3863.85</v>
      </c>
      <c r="N142" s="123">
        <f t="shared" si="96"/>
        <v>0</v>
      </c>
      <c r="O142" s="48"/>
    </row>
    <row r="143" spans="1:15" ht="30" customHeight="1" x14ac:dyDescent="0.2">
      <c r="B143" s="227"/>
      <c r="C143" s="225"/>
      <c r="D143" s="228"/>
      <c r="E143" s="229"/>
      <c r="F143" s="225"/>
      <c r="G143" s="225"/>
      <c r="H143" s="225"/>
      <c r="I143" s="225"/>
      <c r="J143" s="225"/>
      <c r="K143" s="225"/>
      <c r="L143" s="225"/>
      <c r="M143" s="225"/>
      <c r="N143" s="226"/>
      <c r="O143" s="48"/>
    </row>
    <row r="144" spans="1:15" s="83" customFormat="1" ht="30" customHeight="1" x14ac:dyDescent="0.2">
      <c r="A144" s="40"/>
      <c r="B144" s="424" t="s">
        <v>128</v>
      </c>
      <c r="C144" s="416"/>
      <c r="D144" s="416"/>
      <c r="E144" s="416"/>
      <c r="F144" s="416"/>
      <c r="G144" s="416"/>
      <c r="H144" s="417"/>
      <c r="I144" s="230">
        <f>I18+I21+I27+I35+I43+I61+I67+I79+I83+I90+I106+I122+I130+I136+I139+I142</f>
        <v>285384.15000000002</v>
      </c>
      <c r="J144" s="230">
        <f>J18+J21+J27+J35+J43+J61+J67+J79+J83+J90+J106+J122+J130+J136+J139+J142</f>
        <v>5376.68</v>
      </c>
      <c r="K144" s="230">
        <f>K18+K21+K27+K35+K43+K61+K67+K79+K83+K90+K106+K122+K130+K136+K139+K142</f>
        <v>8725.08</v>
      </c>
      <c r="L144" s="230">
        <f>L18+L21+L27+L35+L43+L61+L67+L79+L83+L90+L106+L122+L130+L136+L139+L142</f>
        <v>8725.08</v>
      </c>
      <c r="M144" s="230">
        <f>M18+M21+M27+M35+M43+M61+M67+M79+M83+M90+M106+M122+M130+M136+M139+M142</f>
        <v>282035.75</v>
      </c>
      <c r="N144" s="230"/>
      <c r="O144" s="56"/>
    </row>
    <row r="145" spans="2:15" s="83" customFormat="1" ht="30" customHeight="1" x14ac:dyDescent="0.2">
      <c r="B145" s="231"/>
      <c r="C145" s="4"/>
      <c r="D145" s="232"/>
      <c r="E145" s="233"/>
      <c r="F145" s="234"/>
      <c r="G145" s="234"/>
      <c r="H145" s="234"/>
      <c r="I145" s="87"/>
      <c r="J145" s="87"/>
      <c r="K145" s="87"/>
      <c r="L145" s="87"/>
      <c r="M145" s="87"/>
      <c r="N145" s="125"/>
      <c r="O145" s="56"/>
    </row>
    <row r="146" spans="2:15" ht="30" customHeight="1" x14ac:dyDescent="0.2">
      <c r="B146" s="231"/>
      <c r="D146" s="232"/>
      <c r="E146" s="233"/>
      <c r="F146" s="234"/>
      <c r="G146" s="234"/>
      <c r="H146" s="234"/>
      <c r="I146" s="87"/>
      <c r="J146" s="87"/>
      <c r="K146" s="87"/>
      <c r="L146" s="87"/>
      <c r="M146" s="87"/>
      <c r="N146" s="125"/>
      <c r="O146" s="48"/>
    </row>
    <row r="147" spans="2:15" ht="31.5" customHeight="1" x14ac:dyDescent="0.2">
      <c r="B147" s="231"/>
      <c r="D147" s="232"/>
      <c r="E147" s="233"/>
      <c r="F147" s="234"/>
      <c r="G147" s="234"/>
      <c r="H147" s="234"/>
      <c r="I147" s="87"/>
      <c r="J147" s="87"/>
      <c r="K147" s="87"/>
      <c r="L147" s="87"/>
      <c r="M147" s="87"/>
      <c r="N147" s="125"/>
      <c r="O147" s="48"/>
    </row>
    <row r="148" spans="2:15" ht="31.5" customHeight="1" x14ac:dyDescent="0.2">
      <c r="B148" s="231"/>
      <c r="D148" s="232"/>
      <c r="E148" s="233"/>
      <c r="F148" s="234"/>
      <c r="G148" s="234"/>
      <c r="H148" s="234"/>
      <c r="I148" s="87"/>
      <c r="J148" s="87"/>
      <c r="K148" s="87"/>
      <c r="L148" s="87"/>
      <c r="M148" s="87"/>
      <c r="N148" s="125"/>
      <c r="O148" s="49"/>
    </row>
    <row r="149" spans="2:15" ht="21.75" customHeight="1" x14ac:dyDescent="0.2">
      <c r="B149" s="235"/>
      <c r="C149" s="61"/>
      <c r="N149" s="126"/>
      <c r="O149" s="48"/>
    </row>
    <row r="150" spans="2:15" ht="21.75" customHeight="1" x14ac:dyDescent="0.2">
      <c r="B150" s="236" t="s">
        <v>458</v>
      </c>
      <c r="C150" s="237"/>
      <c r="D150" s="423" t="s">
        <v>487</v>
      </c>
      <c r="E150" s="423"/>
      <c r="F150" s="423"/>
      <c r="K150" s="237" t="s">
        <v>294</v>
      </c>
      <c r="L150" s="237"/>
      <c r="N150" s="126"/>
      <c r="O150" s="48"/>
    </row>
    <row r="151" spans="2:15" ht="21.75" customHeight="1" x14ac:dyDescent="0.2">
      <c r="B151" s="238"/>
      <c r="C151" s="120"/>
      <c r="D151" s="423" t="s">
        <v>293</v>
      </c>
      <c r="E151" s="423"/>
      <c r="F151" s="423"/>
      <c r="K151" s="423" t="s">
        <v>293</v>
      </c>
      <c r="L151" s="423"/>
      <c r="M151" s="423"/>
      <c r="N151" s="126"/>
      <c r="O151" s="48"/>
    </row>
    <row r="152" spans="2:15" ht="21.75" customHeight="1" thickBot="1" x14ac:dyDescent="0.25">
      <c r="B152" s="239"/>
      <c r="C152" s="240"/>
      <c r="D152" s="241"/>
      <c r="E152" s="242"/>
      <c r="F152" s="127"/>
      <c r="G152" s="127"/>
      <c r="H152" s="127"/>
      <c r="I152" s="127"/>
      <c r="J152" s="127"/>
      <c r="K152" s="127"/>
      <c r="L152" s="127"/>
      <c r="M152" s="127"/>
      <c r="N152" s="243"/>
      <c r="O152" s="48"/>
    </row>
    <row r="153" spans="2:15" ht="21.75" customHeight="1" x14ac:dyDescent="0.2">
      <c r="B153" s="88"/>
      <c r="C153" s="88"/>
      <c r="O153" s="31"/>
    </row>
    <row r="154" spans="2:15" ht="18" customHeight="1" x14ac:dyDescent="0.2">
      <c r="B154" s="120"/>
      <c r="C154" s="120"/>
    </row>
    <row r="155" spans="2:15" x14ac:dyDescent="0.2">
      <c r="B155" s="120"/>
      <c r="C155" s="120"/>
      <c r="K155" s="25" t="s">
        <v>90</v>
      </c>
      <c r="L155" s="147">
        <f>M8+M9+M11+M12+M13+M14+M15+M17+M31+M33+M34+M38+M41+M42+M45+M46+M48+M49+M50+M51+M52+M53+M55+M56+M57+M58+M59+M60+M63+M64+M65+M66+M70+M71+M72+M75+M76+M77+M78+M82+M86+M87+M88+M94+M99+M100+M101+M104+M105+M109+M112+M113+M114+M116+M118+M119+M121+M124+M125+M127+M128+M129+M134+M135+M10+M16+M20+M29+M30+M32+M37+M39+M40+M47+M54+M73+M74+M81+M85+M89+M92+M93+M95+M96+M97+M98+M102+M103+M108+M110+M111+M115+M117+M120+M126+M132+M133+M138+M141+M69</f>
        <v>265890.53000000014</v>
      </c>
    </row>
    <row r="156" spans="2:15" x14ac:dyDescent="0.2">
      <c r="B156" s="120"/>
      <c r="C156" s="120"/>
      <c r="K156" s="25" t="s">
        <v>91</v>
      </c>
      <c r="L156" s="147">
        <f>M23+M24+M25+M26</f>
        <v>16145.22</v>
      </c>
    </row>
    <row r="157" spans="2:15" x14ac:dyDescent="0.2">
      <c r="B157" s="120"/>
      <c r="C157" s="120"/>
      <c r="L157" s="147">
        <f>SUM(L155:L156)</f>
        <v>282035.75000000012</v>
      </c>
    </row>
    <row r="158" spans="2:15" x14ac:dyDescent="0.2">
      <c r="B158" s="120"/>
      <c r="C158" s="120"/>
    </row>
    <row r="159" spans="2:15" x14ac:dyDescent="0.2">
      <c r="B159" s="120"/>
      <c r="C159" s="120"/>
      <c r="K159" s="25" t="s">
        <v>302</v>
      </c>
      <c r="L159" s="148">
        <f>L157-M144</f>
        <v>0</v>
      </c>
    </row>
    <row r="160" spans="2:15" x14ac:dyDescent="0.2">
      <c r="B160" s="120"/>
      <c r="C160" s="120"/>
    </row>
  </sheetData>
  <mergeCells count="39">
    <mergeCell ref="D150:F150"/>
    <mergeCell ref="B91:N91"/>
    <mergeCell ref="B140:N140"/>
    <mergeCell ref="B137:N137"/>
    <mergeCell ref="G139:H139"/>
    <mergeCell ref="B107:N107"/>
    <mergeCell ref="F106:H106"/>
    <mergeCell ref="F122:H122"/>
    <mergeCell ref="F130:H130"/>
    <mergeCell ref="F136:H136"/>
    <mergeCell ref="B123:N123"/>
    <mergeCell ref="B131:N131"/>
    <mergeCell ref="D151:F151"/>
    <mergeCell ref="K151:M151"/>
    <mergeCell ref="F21:H21"/>
    <mergeCell ref="B144:H144"/>
    <mergeCell ref="B62:N62"/>
    <mergeCell ref="F61:H61"/>
    <mergeCell ref="F27:H27"/>
    <mergeCell ref="F35:H35"/>
    <mergeCell ref="G142:H142"/>
    <mergeCell ref="F67:H67"/>
    <mergeCell ref="F79:H79"/>
    <mergeCell ref="F83:H83"/>
    <mergeCell ref="B28:N28"/>
    <mergeCell ref="F43:H43"/>
    <mergeCell ref="B36:N36"/>
    <mergeCell ref="B80:N80"/>
    <mergeCell ref="F90:H90"/>
    <mergeCell ref="B68:N68"/>
    <mergeCell ref="E2:K2"/>
    <mergeCell ref="E5:K5"/>
    <mergeCell ref="L5:N5"/>
    <mergeCell ref="D6:J6"/>
    <mergeCell ref="F18:H18"/>
    <mergeCell ref="B19:N19"/>
    <mergeCell ref="B22:N22"/>
    <mergeCell ref="B84:N84"/>
    <mergeCell ref="B44:N44"/>
  </mergeCells>
  <pageMargins left="0.7" right="0.7" top="0.75" bottom="0.75" header="0.3" footer="0.3"/>
  <pageSetup scale="61" fitToHeight="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AO42"/>
  <sheetViews>
    <sheetView showGridLines="0" topLeftCell="B4" zoomScale="70" zoomScaleNormal="70" workbookViewId="0">
      <selection activeCell="F16" sqref="F16:F22"/>
    </sheetView>
  </sheetViews>
  <sheetFormatPr baseColWidth="10" defaultColWidth="11.42578125" defaultRowHeight="17.25" x14ac:dyDescent="0.2"/>
  <cols>
    <col min="1" max="1" width="5.140625" style="5" customWidth="1"/>
    <col min="2" max="3" width="5.5703125" style="5" customWidth="1"/>
    <col min="4" max="4" width="37.7109375" style="71" customWidth="1"/>
    <col min="5" max="5" width="37.42578125" style="5" customWidth="1"/>
    <col min="6" max="6" width="24.42578125" style="5" customWidth="1"/>
    <col min="7" max="7" width="10.28515625" style="5" customWidth="1"/>
    <col min="8" max="8" width="10" style="5" customWidth="1"/>
    <col min="9" max="9" width="24.42578125" style="5" customWidth="1"/>
    <col min="10" max="10" width="11.85546875" style="5" hidden="1" customWidth="1"/>
    <col min="11" max="11" width="12.140625" style="5" hidden="1" customWidth="1"/>
    <col min="12" max="12" width="11.5703125" style="5" hidden="1" customWidth="1"/>
    <col min="13" max="13" width="12" style="5" hidden="1" customWidth="1"/>
    <col min="14" max="14" width="12.7109375" style="5" hidden="1" customWidth="1"/>
    <col min="15" max="15" width="14.42578125" style="5" hidden="1" customWidth="1"/>
    <col min="16" max="16" width="14.28515625" style="5" hidden="1" customWidth="1"/>
    <col min="17" max="17" width="8.7109375" style="5" hidden="1" customWidth="1"/>
    <col min="18" max="18" width="13.140625" style="5" hidden="1" customWidth="1"/>
    <col min="19" max="19" width="13.5703125" style="5" hidden="1" customWidth="1"/>
    <col min="20" max="20" width="12.7109375" style="5" hidden="1" customWidth="1"/>
    <col min="21" max="21" width="13.42578125" style="5" hidden="1" customWidth="1"/>
    <col min="22" max="23" width="13.140625" style="5" hidden="1" customWidth="1"/>
    <col min="24" max="24" width="10.5703125" style="5" hidden="1" customWidth="1"/>
    <col min="25" max="25" width="12.85546875" style="5" hidden="1" customWidth="1"/>
    <col min="26" max="26" width="13.140625" style="5" hidden="1" customWidth="1"/>
    <col min="27" max="27" width="11.5703125" style="5" hidden="1" customWidth="1"/>
    <col min="28" max="28" width="7.7109375" style="5" hidden="1" customWidth="1"/>
    <col min="29" max="30" width="11.85546875" style="5" hidden="1" customWidth="1"/>
    <col min="31" max="31" width="11.28515625" style="5" hidden="1" customWidth="1"/>
    <col min="32" max="32" width="10.42578125" style="5" hidden="1" customWidth="1"/>
    <col min="33" max="33" width="12.28515625" style="5" hidden="1" customWidth="1"/>
    <col min="34" max="34" width="13.140625" style="5" hidden="1" customWidth="1"/>
    <col min="35" max="35" width="19.85546875" style="5" hidden="1" customWidth="1"/>
    <col min="36" max="36" width="17.5703125" style="185" customWidth="1"/>
    <col min="37" max="37" width="56.42578125" style="5" customWidth="1"/>
    <col min="38" max="38" width="12.28515625" style="174" bestFit="1" customWidth="1"/>
    <col min="39" max="39" width="15.140625" style="172" customWidth="1"/>
    <col min="40" max="16384" width="11.42578125" style="5"/>
  </cols>
  <sheetData>
    <row r="3" spans="1:41" x14ac:dyDescent="0.2">
      <c r="B3" s="39"/>
      <c r="C3" s="39"/>
      <c r="D3" s="68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170"/>
      <c r="AK3" s="39"/>
      <c r="AL3" s="171"/>
    </row>
    <row r="4" spans="1:41" x14ac:dyDescent="0.2">
      <c r="B4" s="39"/>
      <c r="C4" s="39"/>
      <c r="D4" s="68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170"/>
      <c r="AK4" s="39"/>
      <c r="AL4" s="171"/>
    </row>
    <row r="5" spans="1:41" x14ac:dyDescent="0.2">
      <c r="B5" s="39"/>
      <c r="C5" s="39"/>
      <c r="D5" s="68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170"/>
      <c r="AK5" s="39"/>
      <c r="AL5" s="171"/>
    </row>
    <row r="6" spans="1:41" x14ac:dyDescent="0.2">
      <c r="B6" s="39"/>
      <c r="C6" s="39"/>
      <c r="D6" s="68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170"/>
      <c r="AK6" s="39"/>
      <c r="AL6" s="171"/>
    </row>
    <row r="7" spans="1:41" x14ac:dyDescent="0.2">
      <c r="B7" s="39"/>
      <c r="C7" s="39"/>
      <c r="D7" s="68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170"/>
      <c r="AK7" s="39"/>
      <c r="AL7" s="171"/>
    </row>
    <row r="8" spans="1:41" x14ac:dyDescent="0.2">
      <c r="B8" s="39"/>
      <c r="C8" s="39"/>
      <c r="D8" s="68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170"/>
      <c r="AK8" s="39"/>
      <c r="AL8" s="171"/>
    </row>
    <row r="9" spans="1:41" ht="30" customHeight="1" x14ac:dyDescent="0.2">
      <c r="B9" s="39"/>
      <c r="C9" s="39"/>
      <c r="D9" s="68"/>
      <c r="E9" s="39"/>
      <c r="F9" s="39"/>
      <c r="G9" s="61" t="s">
        <v>29</v>
      </c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170"/>
      <c r="AK9" s="39"/>
      <c r="AL9" s="171"/>
      <c r="AN9" s="79"/>
      <c r="AO9" s="5" t="s">
        <v>315</v>
      </c>
    </row>
    <row r="10" spans="1:41" x14ac:dyDescent="0.2">
      <c r="B10" s="39"/>
      <c r="C10" s="39"/>
      <c r="D10" s="68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170"/>
      <c r="AK10" s="39"/>
      <c r="AL10" s="171"/>
      <c r="AN10" s="173"/>
      <c r="AO10" s="5" t="s">
        <v>316</v>
      </c>
    </row>
    <row r="11" spans="1:41" s="29" customFormat="1" ht="15" x14ac:dyDescent="0.2">
      <c r="A11" s="5"/>
      <c r="B11" s="435"/>
      <c r="C11" s="435"/>
      <c r="D11" s="435"/>
      <c r="E11" s="435"/>
      <c r="F11" s="435"/>
      <c r="G11" s="435"/>
      <c r="H11" s="435"/>
      <c r="I11" s="435"/>
      <c r="J11" s="435"/>
      <c r="K11" s="435"/>
      <c r="L11" s="435"/>
      <c r="M11" s="435"/>
      <c r="N11" s="435"/>
      <c r="O11" s="435"/>
      <c r="P11" s="435"/>
      <c r="Q11" s="435"/>
      <c r="R11" s="435"/>
      <c r="S11" s="435"/>
      <c r="T11" s="435"/>
      <c r="U11" s="435"/>
      <c r="V11" s="435"/>
      <c r="W11" s="435"/>
      <c r="X11" s="435"/>
      <c r="Y11" s="435"/>
      <c r="Z11" s="435"/>
      <c r="AA11" s="435"/>
      <c r="AB11" s="435"/>
      <c r="AC11" s="435"/>
      <c r="AD11" s="435"/>
      <c r="AE11" s="435"/>
      <c r="AF11" s="435"/>
      <c r="AG11" s="435"/>
      <c r="AH11" s="435"/>
      <c r="AI11" s="435"/>
      <c r="AJ11" s="435"/>
      <c r="AK11" s="39"/>
      <c r="AL11" s="171"/>
      <c r="AM11" s="174"/>
    </row>
    <row r="12" spans="1:41" s="29" customFormat="1" ht="15" x14ac:dyDescent="0.2">
      <c r="A12" s="5"/>
      <c r="B12" s="436" t="s">
        <v>490</v>
      </c>
      <c r="C12" s="436"/>
      <c r="D12" s="436"/>
      <c r="E12" s="436"/>
      <c r="F12" s="436"/>
      <c r="G12" s="436"/>
      <c r="H12" s="436"/>
      <c r="I12" s="436"/>
      <c r="J12" s="436"/>
      <c r="K12" s="436"/>
      <c r="L12" s="436"/>
      <c r="M12" s="436"/>
      <c r="N12" s="436"/>
      <c r="O12" s="436"/>
      <c r="P12" s="436"/>
      <c r="Q12" s="436"/>
      <c r="R12" s="436"/>
      <c r="S12" s="436"/>
      <c r="T12" s="436"/>
      <c r="U12" s="436"/>
      <c r="V12" s="436"/>
      <c r="W12" s="436"/>
      <c r="X12" s="436"/>
      <c r="Y12" s="436"/>
      <c r="Z12" s="436"/>
      <c r="AA12" s="436"/>
      <c r="AB12" s="436"/>
      <c r="AC12" s="436"/>
      <c r="AD12" s="436"/>
      <c r="AE12" s="436"/>
      <c r="AF12" s="436"/>
      <c r="AG12" s="436"/>
      <c r="AH12" s="436"/>
      <c r="AI12" s="436"/>
      <c r="AJ12" s="436"/>
      <c r="AK12" s="39"/>
      <c r="AL12" s="171"/>
      <c r="AM12" s="174"/>
    </row>
    <row r="13" spans="1:41" s="29" customFormat="1" ht="28.5" customHeight="1" x14ac:dyDescent="0.2">
      <c r="A13" s="5"/>
      <c r="B13" s="38"/>
      <c r="C13" s="38"/>
      <c r="D13" s="69"/>
      <c r="E13" s="38"/>
      <c r="F13" s="38"/>
      <c r="G13" s="37" t="s">
        <v>133</v>
      </c>
      <c r="H13" s="37" t="s">
        <v>1</v>
      </c>
      <c r="I13" s="405" t="s">
        <v>0</v>
      </c>
      <c r="J13" s="405"/>
      <c r="K13" s="405"/>
      <c r="L13" s="405"/>
      <c r="M13" s="405"/>
      <c r="N13" s="405"/>
      <c r="O13" s="405"/>
      <c r="P13" s="405"/>
      <c r="Q13" s="37"/>
      <c r="R13" s="37" t="s">
        <v>317</v>
      </c>
      <c r="S13" s="37"/>
      <c r="T13" s="437" t="s">
        <v>318</v>
      </c>
      <c r="U13" s="437"/>
      <c r="V13" s="437"/>
      <c r="W13" s="437"/>
      <c r="X13" s="437"/>
      <c r="Y13" s="437"/>
      <c r="Z13" s="37" t="s">
        <v>319</v>
      </c>
      <c r="AA13" s="37" t="s">
        <v>3</v>
      </c>
      <c r="AB13" s="37"/>
      <c r="AC13" s="438" t="s">
        <v>320</v>
      </c>
      <c r="AD13" s="437" t="s">
        <v>321</v>
      </c>
      <c r="AE13" s="437"/>
      <c r="AF13" s="437"/>
      <c r="AG13" s="437"/>
      <c r="AH13" s="437"/>
      <c r="AI13" s="437"/>
      <c r="AJ13" s="439" t="s">
        <v>314</v>
      </c>
      <c r="AK13" s="38"/>
      <c r="AL13" s="171"/>
      <c r="AM13" s="174"/>
    </row>
    <row r="14" spans="1:41" s="29" customFormat="1" x14ac:dyDescent="0.2">
      <c r="A14" s="5"/>
      <c r="B14" s="37" t="s">
        <v>134</v>
      </c>
      <c r="C14" s="37" t="s">
        <v>353</v>
      </c>
      <c r="D14" s="76" t="s">
        <v>14</v>
      </c>
      <c r="E14" s="37" t="s">
        <v>27</v>
      </c>
      <c r="F14" s="37" t="s">
        <v>96</v>
      </c>
      <c r="G14" s="43" t="s">
        <v>15</v>
      </c>
      <c r="H14" s="37" t="s">
        <v>16</v>
      </c>
      <c r="I14" s="438" t="s">
        <v>92</v>
      </c>
      <c r="J14" s="37" t="s">
        <v>322</v>
      </c>
      <c r="K14" s="37" t="s">
        <v>322</v>
      </c>
      <c r="L14" s="37" t="s">
        <v>323</v>
      </c>
      <c r="M14" s="37" t="s">
        <v>317</v>
      </c>
      <c r="N14" s="37" t="s">
        <v>324</v>
      </c>
      <c r="O14" s="438" t="s">
        <v>325</v>
      </c>
      <c r="P14" s="438" t="s">
        <v>136</v>
      </c>
      <c r="Q14" s="37"/>
      <c r="R14" s="37" t="s">
        <v>326</v>
      </c>
      <c r="S14" s="37" t="s">
        <v>327</v>
      </c>
      <c r="T14" s="37" t="s">
        <v>5</v>
      </c>
      <c r="U14" s="37" t="s">
        <v>328</v>
      </c>
      <c r="V14" s="37" t="s">
        <v>329</v>
      </c>
      <c r="W14" s="37" t="s">
        <v>330</v>
      </c>
      <c r="X14" s="37" t="s">
        <v>7</v>
      </c>
      <c r="Y14" s="37" t="s">
        <v>3</v>
      </c>
      <c r="Z14" s="37" t="s">
        <v>331</v>
      </c>
      <c r="AA14" s="37" t="s">
        <v>332</v>
      </c>
      <c r="AB14" s="37"/>
      <c r="AC14" s="438"/>
      <c r="AD14" s="37" t="s">
        <v>333</v>
      </c>
      <c r="AE14" s="37" t="s">
        <v>334</v>
      </c>
      <c r="AF14" s="37" t="s">
        <v>319</v>
      </c>
      <c r="AG14" s="37" t="s">
        <v>335</v>
      </c>
      <c r="AH14" s="151" t="s">
        <v>336</v>
      </c>
      <c r="AI14" s="438" t="s">
        <v>337</v>
      </c>
      <c r="AJ14" s="439"/>
      <c r="AK14" s="38"/>
      <c r="AL14" s="171"/>
      <c r="AM14" s="174"/>
    </row>
    <row r="15" spans="1:41" s="29" customFormat="1" ht="16.5" customHeight="1" x14ac:dyDescent="0.2">
      <c r="A15" s="5"/>
      <c r="B15" s="37"/>
      <c r="C15" s="37"/>
      <c r="D15" s="76"/>
      <c r="E15" s="37"/>
      <c r="F15" s="37"/>
      <c r="G15" s="37"/>
      <c r="H15" s="37"/>
      <c r="I15" s="438"/>
      <c r="J15" s="37" t="s">
        <v>338</v>
      </c>
      <c r="K15" s="37" t="s">
        <v>339</v>
      </c>
      <c r="L15" s="37"/>
      <c r="M15" s="37" t="s">
        <v>326</v>
      </c>
      <c r="N15" s="37" t="s">
        <v>340</v>
      </c>
      <c r="O15" s="438"/>
      <c r="P15" s="438"/>
      <c r="Q15" s="37"/>
      <c r="R15" s="37" t="s">
        <v>341</v>
      </c>
      <c r="S15" s="37" t="s">
        <v>342</v>
      </c>
      <c r="T15" s="37" t="s">
        <v>6</v>
      </c>
      <c r="U15" s="37" t="s">
        <v>343</v>
      </c>
      <c r="V15" s="37" t="s">
        <v>343</v>
      </c>
      <c r="W15" s="37" t="s">
        <v>344</v>
      </c>
      <c r="X15" s="37" t="s">
        <v>8</v>
      </c>
      <c r="Y15" s="37" t="s">
        <v>345</v>
      </c>
      <c r="Z15" s="37" t="s">
        <v>12</v>
      </c>
      <c r="AA15" s="37" t="s">
        <v>346</v>
      </c>
      <c r="AB15" s="37"/>
      <c r="AC15" s="438"/>
      <c r="AD15" s="37"/>
      <c r="AE15" s="37"/>
      <c r="AF15" s="37" t="s">
        <v>347</v>
      </c>
      <c r="AG15" s="37" t="s">
        <v>348</v>
      </c>
      <c r="AH15" s="37"/>
      <c r="AI15" s="438"/>
      <c r="AJ15" s="439"/>
      <c r="AK15" s="37" t="s">
        <v>311</v>
      </c>
      <c r="AL15" s="171"/>
      <c r="AM15" s="174"/>
    </row>
    <row r="16" spans="1:41" s="29" customFormat="1" ht="43.5" customHeight="1" x14ac:dyDescent="0.2">
      <c r="A16" s="5"/>
      <c r="B16" s="38">
        <v>1</v>
      </c>
      <c r="C16" s="38" t="s">
        <v>353</v>
      </c>
      <c r="D16" s="244" t="s">
        <v>31</v>
      </c>
      <c r="E16" s="245" t="s">
        <v>30</v>
      </c>
      <c r="F16" s="245"/>
      <c r="G16" s="245">
        <v>15</v>
      </c>
      <c r="H16" s="246">
        <v>106.133</v>
      </c>
      <c r="I16" s="118">
        <f t="shared" ref="I16:I22" si="0">ROUND(G16*H16,2)</f>
        <v>1592</v>
      </c>
      <c r="J16" s="247">
        <v>0</v>
      </c>
      <c r="K16" s="247">
        <f t="shared" ref="K16:K22" si="1">J16</f>
        <v>0</v>
      </c>
      <c r="L16" s="247">
        <v>0</v>
      </c>
      <c r="M16" s="247">
        <v>0</v>
      </c>
      <c r="N16" s="247">
        <v>0</v>
      </c>
      <c r="O16" s="247">
        <v>0</v>
      </c>
      <c r="P16" s="168">
        <f t="shared" ref="P16:P22" si="2">SUM(I16:O16)</f>
        <v>1592</v>
      </c>
      <c r="Q16" s="248"/>
      <c r="R16" s="168">
        <f t="shared" ref="R16:R22" si="3">IF(H16=47.16,0,IF(H16&gt;47.16,M16*0.5,0))</f>
        <v>0</v>
      </c>
      <c r="S16" s="168">
        <f t="shared" ref="S16:S22" si="4">I16+J16+K16+N16+R16+L16</f>
        <v>1592</v>
      </c>
      <c r="T16" s="168">
        <v>318.01</v>
      </c>
      <c r="U16" s="168">
        <f t="shared" ref="U16:U22" si="5">S16-T16</f>
        <v>1273.99</v>
      </c>
      <c r="V16" s="249">
        <v>6.4000000000000001E-2</v>
      </c>
      <c r="W16" s="168">
        <f t="shared" ref="W16:W22" si="6">U16*V16</f>
        <v>81.535359999999997</v>
      </c>
      <c r="X16" s="168">
        <v>6.15</v>
      </c>
      <c r="Y16" s="168">
        <f t="shared" ref="Y16:Y22" si="7">W16+X16</f>
        <v>87.685360000000003</v>
      </c>
      <c r="Z16" s="168">
        <v>200.7</v>
      </c>
      <c r="AA16" s="168">
        <f t="shared" ref="AA16:AA22" si="8">Y16-Z16</f>
        <v>-113.01463999999999</v>
      </c>
      <c r="AB16" s="250"/>
      <c r="AC16" s="168">
        <v>0</v>
      </c>
      <c r="AD16" s="168">
        <f t="shared" ref="AD16:AD22" si="9">IF(AA16&lt;0,0,AA16)</f>
        <v>0</v>
      </c>
      <c r="AE16" s="168">
        <v>0</v>
      </c>
      <c r="AF16" s="247">
        <v>0</v>
      </c>
      <c r="AG16" s="247">
        <v>0</v>
      </c>
      <c r="AH16" s="251">
        <v>0</v>
      </c>
      <c r="AI16" s="168">
        <f t="shared" ref="AI16:AI22" si="10">SUM(AD16:AH16)</f>
        <v>0</v>
      </c>
      <c r="AJ16" s="252">
        <f t="shared" ref="AJ16:AJ22" si="11">P16+AC16-AI16</f>
        <v>1592</v>
      </c>
      <c r="AK16" s="168"/>
      <c r="AL16" s="50"/>
      <c r="AM16" s="175"/>
      <c r="AN16" s="176"/>
    </row>
    <row r="17" spans="1:40" s="29" customFormat="1" ht="43.5" customHeight="1" x14ac:dyDescent="0.2">
      <c r="A17" s="5"/>
      <c r="B17" s="38">
        <v>2</v>
      </c>
      <c r="C17" s="38" t="s">
        <v>353</v>
      </c>
      <c r="D17" s="244" t="s">
        <v>257</v>
      </c>
      <c r="E17" s="245" t="s">
        <v>30</v>
      </c>
      <c r="F17" s="245"/>
      <c r="G17" s="245">
        <v>15</v>
      </c>
      <c r="H17" s="246">
        <v>106.133</v>
      </c>
      <c r="I17" s="118">
        <f t="shared" si="0"/>
        <v>1592</v>
      </c>
      <c r="J17" s="247">
        <v>0</v>
      </c>
      <c r="K17" s="247">
        <f t="shared" si="1"/>
        <v>0</v>
      </c>
      <c r="L17" s="247">
        <v>0</v>
      </c>
      <c r="M17" s="247">
        <v>0</v>
      </c>
      <c r="N17" s="247">
        <v>0</v>
      </c>
      <c r="O17" s="247">
        <v>0</v>
      </c>
      <c r="P17" s="168">
        <f t="shared" si="2"/>
        <v>1592</v>
      </c>
      <c r="Q17" s="248"/>
      <c r="R17" s="168">
        <f t="shared" si="3"/>
        <v>0</v>
      </c>
      <c r="S17" s="168">
        <f t="shared" si="4"/>
        <v>1592</v>
      </c>
      <c r="T17" s="168">
        <v>318.01</v>
      </c>
      <c r="U17" s="168">
        <f t="shared" si="5"/>
        <v>1273.99</v>
      </c>
      <c r="V17" s="249">
        <v>6.4000000000000001E-2</v>
      </c>
      <c r="W17" s="168">
        <f t="shared" si="6"/>
        <v>81.535359999999997</v>
      </c>
      <c r="X17" s="168">
        <v>6.15</v>
      </c>
      <c r="Y17" s="168">
        <f t="shared" si="7"/>
        <v>87.685360000000003</v>
      </c>
      <c r="Z17" s="168">
        <v>200.7</v>
      </c>
      <c r="AA17" s="168">
        <f t="shared" si="8"/>
        <v>-113.01463999999999</v>
      </c>
      <c r="AB17" s="250"/>
      <c r="AC17" s="168">
        <v>0</v>
      </c>
      <c r="AD17" s="168">
        <f t="shared" si="9"/>
        <v>0</v>
      </c>
      <c r="AE17" s="168">
        <v>0</v>
      </c>
      <c r="AF17" s="247">
        <v>0</v>
      </c>
      <c r="AG17" s="247">
        <v>0</v>
      </c>
      <c r="AH17" s="251">
        <v>0</v>
      </c>
      <c r="AI17" s="168">
        <f t="shared" si="10"/>
        <v>0</v>
      </c>
      <c r="AJ17" s="252">
        <f t="shared" si="11"/>
        <v>1592</v>
      </c>
      <c r="AK17" s="168"/>
      <c r="AL17" s="50"/>
      <c r="AM17" s="175"/>
      <c r="AN17" s="176"/>
    </row>
    <row r="18" spans="1:40" s="29" customFormat="1" ht="43.5" customHeight="1" x14ac:dyDescent="0.2">
      <c r="A18" s="5"/>
      <c r="B18" s="38">
        <v>3</v>
      </c>
      <c r="C18" s="38" t="s">
        <v>353</v>
      </c>
      <c r="D18" s="244" t="s">
        <v>74</v>
      </c>
      <c r="E18" s="245" t="s">
        <v>30</v>
      </c>
      <c r="F18" s="245"/>
      <c r="G18" s="245">
        <v>15</v>
      </c>
      <c r="H18" s="246">
        <v>106.133</v>
      </c>
      <c r="I18" s="118">
        <f t="shared" si="0"/>
        <v>1592</v>
      </c>
      <c r="J18" s="247">
        <v>0</v>
      </c>
      <c r="K18" s="247">
        <f t="shared" si="1"/>
        <v>0</v>
      </c>
      <c r="L18" s="247">
        <v>0</v>
      </c>
      <c r="M18" s="247">
        <v>0</v>
      </c>
      <c r="N18" s="247">
        <v>0</v>
      </c>
      <c r="O18" s="247">
        <v>0</v>
      </c>
      <c r="P18" s="168">
        <f t="shared" si="2"/>
        <v>1592</v>
      </c>
      <c r="Q18" s="248"/>
      <c r="R18" s="168">
        <f t="shared" si="3"/>
        <v>0</v>
      </c>
      <c r="S18" s="168">
        <f t="shared" si="4"/>
        <v>1592</v>
      </c>
      <c r="T18" s="168">
        <v>318.01</v>
      </c>
      <c r="U18" s="168">
        <f t="shared" si="5"/>
        <v>1273.99</v>
      </c>
      <c r="V18" s="249">
        <v>6.4000000000000001E-2</v>
      </c>
      <c r="W18" s="168">
        <f t="shared" si="6"/>
        <v>81.535359999999997</v>
      </c>
      <c r="X18" s="168">
        <v>6.15</v>
      </c>
      <c r="Y18" s="168">
        <f t="shared" si="7"/>
        <v>87.685360000000003</v>
      </c>
      <c r="Z18" s="168">
        <v>200.7</v>
      </c>
      <c r="AA18" s="168">
        <f t="shared" si="8"/>
        <v>-113.01463999999999</v>
      </c>
      <c r="AB18" s="250"/>
      <c r="AC18" s="168">
        <v>0</v>
      </c>
      <c r="AD18" s="168">
        <f t="shared" si="9"/>
        <v>0</v>
      </c>
      <c r="AE18" s="168">
        <v>0</v>
      </c>
      <c r="AF18" s="247">
        <v>0</v>
      </c>
      <c r="AG18" s="247">
        <v>0</v>
      </c>
      <c r="AH18" s="251">
        <v>0</v>
      </c>
      <c r="AI18" s="168">
        <f t="shared" si="10"/>
        <v>0</v>
      </c>
      <c r="AJ18" s="252">
        <f t="shared" si="11"/>
        <v>1592</v>
      </c>
      <c r="AK18" s="168"/>
      <c r="AL18" s="171"/>
      <c r="AM18" s="174"/>
    </row>
    <row r="19" spans="1:40" s="29" customFormat="1" ht="43.5" customHeight="1" x14ac:dyDescent="0.2">
      <c r="A19" s="5"/>
      <c r="B19" s="38">
        <v>4</v>
      </c>
      <c r="C19" s="38" t="s">
        <v>353</v>
      </c>
      <c r="D19" s="244" t="s">
        <v>32</v>
      </c>
      <c r="E19" s="245" t="s">
        <v>30</v>
      </c>
      <c r="F19" s="245"/>
      <c r="G19" s="245">
        <v>15</v>
      </c>
      <c r="H19" s="246">
        <v>106.133</v>
      </c>
      <c r="I19" s="118">
        <f t="shared" si="0"/>
        <v>1592</v>
      </c>
      <c r="J19" s="247">
        <v>0</v>
      </c>
      <c r="K19" s="247">
        <f t="shared" si="1"/>
        <v>0</v>
      </c>
      <c r="L19" s="247">
        <v>0</v>
      </c>
      <c r="M19" s="247">
        <v>0</v>
      </c>
      <c r="N19" s="247">
        <v>0</v>
      </c>
      <c r="O19" s="247">
        <v>0</v>
      </c>
      <c r="P19" s="168">
        <f t="shared" si="2"/>
        <v>1592</v>
      </c>
      <c r="Q19" s="248"/>
      <c r="R19" s="168">
        <f t="shared" si="3"/>
        <v>0</v>
      </c>
      <c r="S19" s="168">
        <f t="shared" si="4"/>
        <v>1592</v>
      </c>
      <c r="T19" s="168">
        <v>318.01</v>
      </c>
      <c r="U19" s="168">
        <f t="shared" si="5"/>
        <v>1273.99</v>
      </c>
      <c r="V19" s="249">
        <v>6.4000000000000001E-2</v>
      </c>
      <c r="W19" s="168">
        <f t="shared" si="6"/>
        <v>81.535359999999997</v>
      </c>
      <c r="X19" s="168">
        <v>6.15</v>
      </c>
      <c r="Y19" s="168">
        <f t="shared" si="7"/>
        <v>87.685360000000003</v>
      </c>
      <c r="Z19" s="168">
        <v>200.7</v>
      </c>
      <c r="AA19" s="168">
        <f t="shared" si="8"/>
        <v>-113.01463999999999</v>
      </c>
      <c r="AB19" s="250"/>
      <c r="AC19" s="168">
        <v>0</v>
      </c>
      <c r="AD19" s="168">
        <f t="shared" si="9"/>
        <v>0</v>
      </c>
      <c r="AE19" s="168">
        <v>0</v>
      </c>
      <c r="AF19" s="247">
        <v>0</v>
      </c>
      <c r="AG19" s="247">
        <v>0</v>
      </c>
      <c r="AH19" s="251">
        <v>0</v>
      </c>
      <c r="AI19" s="168">
        <f t="shared" si="10"/>
        <v>0</v>
      </c>
      <c r="AJ19" s="252">
        <f t="shared" si="11"/>
        <v>1592</v>
      </c>
      <c r="AK19" s="168"/>
      <c r="AL19" s="171"/>
      <c r="AM19" s="174"/>
    </row>
    <row r="20" spans="1:40" s="29" customFormat="1" ht="43.5" customHeight="1" x14ac:dyDescent="0.2">
      <c r="A20" s="5"/>
      <c r="B20" s="38">
        <v>5</v>
      </c>
      <c r="C20" s="38" t="s">
        <v>353</v>
      </c>
      <c r="D20" s="244" t="s">
        <v>83</v>
      </c>
      <c r="E20" s="245" t="s">
        <v>30</v>
      </c>
      <c r="F20" s="245"/>
      <c r="G20" s="245">
        <v>15</v>
      </c>
      <c r="H20" s="246">
        <v>106.133</v>
      </c>
      <c r="I20" s="118">
        <f t="shared" si="0"/>
        <v>1592</v>
      </c>
      <c r="J20" s="247">
        <v>0</v>
      </c>
      <c r="K20" s="247">
        <f t="shared" si="1"/>
        <v>0</v>
      </c>
      <c r="L20" s="247">
        <v>0</v>
      </c>
      <c r="M20" s="247">
        <v>0</v>
      </c>
      <c r="N20" s="247">
        <v>0</v>
      </c>
      <c r="O20" s="247">
        <v>0</v>
      </c>
      <c r="P20" s="168">
        <f t="shared" si="2"/>
        <v>1592</v>
      </c>
      <c r="Q20" s="248"/>
      <c r="R20" s="168">
        <f t="shared" si="3"/>
        <v>0</v>
      </c>
      <c r="S20" s="168">
        <f t="shared" si="4"/>
        <v>1592</v>
      </c>
      <c r="T20" s="168">
        <v>318.01</v>
      </c>
      <c r="U20" s="168">
        <f t="shared" si="5"/>
        <v>1273.99</v>
      </c>
      <c r="V20" s="249">
        <v>6.4000000000000001E-2</v>
      </c>
      <c r="W20" s="168">
        <f t="shared" si="6"/>
        <v>81.535359999999997</v>
      </c>
      <c r="X20" s="168">
        <v>6.15</v>
      </c>
      <c r="Y20" s="168">
        <f t="shared" si="7"/>
        <v>87.685360000000003</v>
      </c>
      <c r="Z20" s="168">
        <v>200.7</v>
      </c>
      <c r="AA20" s="168">
        <f t="shared" si="8"/>
        <v>-113.01463999999999</v>
      </c>
      <c r="AB20" s="250"/>
      <c r="AC20" s="168">
        <v>0</v>
      </c>
      <c r="AD20" s="168">
        <f t="shared" si="9"/>
        <v>0</v>
      </c>
      <c r="AE20" s="168">
        <v>0</v>
      </c>
      <c r="AF20" s="247">
        <v>0</v>
      </c>
      <c r="AG20" s="247">
        <v>0</v>
      </c>
      <c r="AH20" s="251">
        <v>0</v>
      </c>
      <c r="AI20" s="168">
        <f t="shared" si="10"/>
        <v>0</v>
      </c>
      <c r="AJ20" s="252">
        <f t="shared" si="11"/>
        <v>1592</v>
      </c>
      <c r="AK20" s="168"/>
      <c r="AL20" s="171"/>
      <c r="AM20" s="174"/>
    </row>
    <row r="21" spans="1:40" s="29" customFormat="1" ht="43.5" customHeight="1" x14ac:dyDescent="0.2">
      <c r="A21" s="5"/>
      <c r="B21" s="38">
        <v>6</v>
      </c>
      <c r="C21" s="38" t="s">
        <v>353</v>
      </c>
      <c r="D21" s="244" t="s">
        <v>160</v>
      </c>
      <c r="E21" s="245" t="s">
        <v>30</v>
      </c>
      <c r="F21" s="245"/>
      <c r="G21" s="245">
        <v>15</v>
      </c>
      <c r="H21" s="246">
        <v>106.133</v>
      </c>
      <c r="I21" s="118">
        <f t="shared" si="0"/>
        <v>1592</v>
      </c>
      <c r="J21" s="247">
        <v>0</v>
      </c>
      <c r="K21" s="247">
        <f t="shared" si="1"/>
        <v>0</v>
      </c>
      <c r="L21" s="247">
        <v>0</v>
      </c>
      <c r="M21" s="247">
        <v>0</v>
      </c>
      <c r="N21" s="247">
        <v>0</v>
      </c>
      <c r="O21" s="247">
        <v>0</v>
      </c>
      <c r="P21" s="168">
        <f t="shared" si="2"/>
        <v>1592</v>
      </c>
      <c r="Q21" s="248"/>
      <c r="R21" s="168">
        <f t="shared" si="3"/>
        <v>0</v>
      </c>
      <c r="S21" s="168">
        <f t="shared" si="4"/>
        <v>1592</v>
      </c>
      <c r="T21" s="168">
        <v>318.01</v>
      </c>
      <c r="U21" s="168">
        <f t="shared" si="5"/>
        <v>1273.99</v>
      </c>
      <c r="V21" s="249">
        <v>6.4000000000000001E-2</v>
      </c>
      <c r="W21" s="168">
        <f t="shared" si="6"/>
        <v>81.535359999999997</v>
      </c>
      <c r="X21" s="168">
        <v>6.15</v>
      </c>
      <c r="Y21" s="168">
        <f t="shared" si="7"/>
        <v>87.685360000000003</v>
      </c>
      <c r="Z21" s="168">
        <v>200.7</v>
      </c>
      <c r="AA21" s="168">
        <f t="shared" si="8"/>
        <v>-113.01463999999999</v>
      </c>
      <c r="AB21" s="250"/>
      <c r="AC21" s="168">
        <v>0</v>
      </c>
      <c r="AD21" s="168">
        <f t="shared" si="9"/>
        <v>0</v>
      </c>
      <c r="AE21" s="168">
        <v>0</v>
      </c>
      <c r="AF21" s="247">
        <v>0</v>
      </c>
      <c r="AG21" s="247">
        <v>0</v>
      </c>
      <c r="AH21" s="251">
        <v>0</v>
      </c>
      <c r="AI21" s="168">
        <f t="shared" si="10"/>
        <v>0</v>
      </c>
      <c r="AJ21" s="252">
        <f t="shared" si="11"/>
        <v>1592</v>
      </c>
      <c r="AK21" s="168"/>
      <c r="AL21" s="171"/>
      <c r="AM21" s="174"/>
    </row>
    <row r="22" spans="1:40" s="29" customFormat="1" ht="30.75" customHeight="1" x14ac:dyDescent="0.2">
      <c r="A22" s="5"/>
      <c r="B22" s="38">
        <v>7</v>
      </c>
      <c r="C22" s="38" t="s">
        <v>353</v>
      </c>
      <c r="D22" s="253" t="s">
        <v>125</v>
      </c>
      <c r="E22" s="245" t="s">
        <v>30</v>
      </c>
      <c r="F22" s="38"/>
      <c r="G22" s="38">
        <v>15</v>
      </c>
      <c r="H22" s="246">
        <v>106.133</v>
      </c>
      <c r="I22" s="118">
        <f t="shared" si="0"/>
        <v>1592</v>
      </c>
      <c r="J22" s="247">
        <v>0</v>
      </c>
      <c r="K22" s="247">
        <f t="shared" si="1"/>
        <v>0</v>
      </c>
      <c r="L22" s="247">
        <v>0</v>
      </c>
      <c r="M22" s="247">
        <v>0</v>
      </c>
      <c r="N22" s="247">
        <v>0</v>
      </c>
      <c r="O22" s="247">
        <v>0</v>
      </c>
      <c r="P22" s="168">
        <f t="shared" si="2"/>
        <v>1592</v>
      </c>
      <c r="Q22" s="248"/>
      <c r="R22" s="168">
        <f t="shared" si="3"/>
        <v>0</v>
      </c>
      <c r="S22" s="168">
        <f t="shared" si="4"/>
        <v>1592</v>
      </c>
      <c r="T22" s="168">
        <v>318.01</v>
      </c>
      <c r="U22" s="168">
        <f t="shared" si="5"/>
        <v>1273.99</v>
      </c>
      <c r="V22" s="249">
        <v>6.4000000000000001E-2</v>
      </c>
      <c r="W22" s="168">
        <f t="shared" si="6"/>
        <v>81.535359999999997</v>
      </c>
      <c r="X22" s="168">
        <v>6.15</v>
      </c>
      <c r="Y22" s="168">
        <f t="shared" si="7"/>
        <v>87.685360000000003</v>
      </c>
      <c r="Z22" s="168">
        <v>200.7</v>
      </c>
      <c r="AA22" s="168">
        <f t="shared" si="8"/>
        <v>-113.01463999999999</v>
      </c>
      <c r="AB22" s="248"/>
      <c r="AC22" s="168">
        <v>0</v>
      </c>
      <c r="AD22" s="168">
        <f t="shared" si="9"/>
        <v>0</v>
      </c>
      <c r="AE22" s="168">
        <v>0</v>
      </c>
      <c r="AF22" s="247">
        <v>0</v>
      </c>
      <c r="AG22" s="247">
        <v>0</v>
      </c>
      <c r="AH22" s="251">
        <v>0</v>
      </c>
      <c r="AI22" s="168">
        <f t="shared" si="10"/>
        <v>0</v>
      </c>
      <c r="AJ22" s="252">
        <f t="shared" si="11"/>
        <v>1592</v>
      </c>
      <c r="AK22" s="38"/>
      <c r="AL22" s="50"/>
      <c r="AM22" s="175"/>
    </row>
    <row r="23" spans="1:40" x14ac:dyDescent="0.2">
      <c r="B23" s="39"/>
      <c r="C23" s="39"/>
      <c r="D23" s="68"/>
      <c r="E23" s="39"/>
      <c r="F23" s="39"/>
      <c r="G23" s="39"/>
      <c r="H23" s="39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177"/>
      <c r="U23" s="45"/>
      <c r="V23" s="45"/>
      <c r="W23" s="45"/>
      <c r="X23" s="45"/>
      <c r="Y23" s="45"/>
      <c r="Z23" s="177"/>
      <c r="AA23" s="45"/>
      <c r="AB23" s="45"/>
      <c r="AC23" s="45"/>
      <c r="AD23" s="45"/>
      <c r="AE23" s="45"/>
      <c r="AF23" s="45"/>
      <c r="AG23" s="45"/>
      <c r="AH23" s="45"/>
      <c r="AI23" s="45"/>
      <c r="AJ23" s="178"/>
      <c r="AK23" s="39"/>
      <c r="AL23" s="171"/>
    </row>
    <row r="24" spans="1:40" ht="16.5" thickBot="1" x14ac:dyDescent="0.25">
      <c r="B24" s="429" t="s">
        <v>17</v>
      </c>
      <c r="C24" s="430"/>
      <c r="D24" s="430"/>
      <c r="E24" s="430"/>
      <c r="F24" s="430"/>
      <c r="G24" s="430"/>
      <c r="H24" s="431"/>
      <c r="I24" s="46">
        <f>SUM(I16:I22)</f>
        <v>11144</v>
      </c>
      <c r="J24" s="46">
        <f t="shared" ref="J24:P24" si="12">SUM(J16:J22)</f>
        <v>0</v>
      </c>
      <c r="K24" s="46">
        <f t="shared" si="12"/>
        <v>0</v>
      </c>
      <c r="L24" s="46">
        <f t="shared" si="12"/>
        <v>0</v>
      </c>
      <c r="M24" s="46">
        <f t="shared" si="12"/>
        <v>0</v>
      </c>
      <c r="N24" s="46">
        <f t="shared" si="12"/>
        <v>0</v>
      </c>
      <c r="O24" s="46">
        <f t="shared" si="12"/>
        <v>0</v>
      </c>
      <c r="P24" s="46">
        <f t="shared" si="12"/>
        <v>11144</v>
      </c>
      <c r="Q24" s="46"/>
      <c r="R24" s="46">
        <f t="shared" ref="R24:AA24" si="13">SUM(R16:R22)</f>
        <v>0</v>
      </c>
      <c r="S24" s="46">
        <f t="shared" si="13"/>
        <v>11144</v>
      </c>
      <c r="T24" s="46">
        <f t="shared" si="13"/>
        <v>2226.0699999999997</v>
      </c>
      <c r="U24" s="46">
        <f t="shared" si="13"/>
        <v>8917.93</v>
      </c>
      <c r="V24" s="46">
        <f t="shared" si="13"/>
        <v>0.44800000000000001</v>
      </c>
      <c r="W24" s="46">
        <f t="shared" si="13"/>
        <v>570.74751999999989</v>
      </c>
      <c r="X24" s="46">
        <f t="shared" si="13"/>
        <v>43.05</v>
      </c>
      <c r="Y24" s="46">
        <f t="shared" si="13"/>
        <v>613.79752000000008</v>
      </c>
      <c r="Z24" s="46">
        <f t="shared" si="13"/>
        <v>1404.9</v>
      </c>
      <c r="AA24" s="46">
        <f t="shared" si="13"/>
        <v>-791.1024799999999</v>
      </c>
      <c r="AB24" s="46"/>
      <c r="AC24" s="46">
        <f t="shared" ref="AC24:AI24" si="14">SUM(AC16:AC22)</f>
        <v>0</v>
      </c>
      <c r="AD24" s="46">
        <f t="shared" si="14"/>
        <v>0</v>
      </c>
      <c r="AE24" s="46">
        <f t="shared" si="14"/>
        <v>0</v>
      </c>
      <c r="AF24" s="46">
        <f t="shared" si="14"/>
        <v>0</v>
      </c>
      <c r="AG24" s="46">
        <f t="shared" si="14"/>
        <v>0</v>
      </c>
      <c r="AH24" s="46">
        <f t="shared" si="14"/>
        <v>0</v>
      </c>
      <c r="AI24" s="46">
        <f t="shared" si="14"/>
        <v>0</v>
      </c>
      <c r="AJ24" s="179">
        <f>SUM(AJ16:AJ22)</f>
        <v>11144</v>
      </c>
      <c r="AK24" s="39"/>
      <c r="AL24" s="171"/>
      <c r="AM24" s="175">
        <f>P24+AC24-AI24</f>
        <v>11144</v>
      </c>
    </row>
    <row r="25" spans="1:40" ht="18" thickTop="1" x14ac:dyDescent="0.2">
      <c r="B25" s="39"/>
      <c r="C25" s="39"/>
      <c r="D25" s="68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170"/>
      <c r="AK25" s="39"/>
      <c r="AL25" s="171"/>
    </row>
    <row r="26" spans="1:40" x14ac:dyDescent="0.2">
      <c r="B26" s="39"/>
      <c r="C26" s="39"/>
      <c r="D26" s="68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170"/>
      <c r="AK26" s="39"/>
      <c r="AL26" s="171"/>
    </row>
    <row r="27" spans="1:40" x14ac:dyDescent="0.2">
      <c r="B27" s="39"/>
      <c r="C27" s="39"/>
      <c r="D27" s="68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170"/>
      <c r="AK27" s="39"/>
      <c r="AL27" s="171"/>
    </row>
    <row r="28" spans="1:40" x14ac:dyDescent="0.2">
      <c r="B28" s="39"/>
      <c r="C28" s="39"/>
      <c r="D28" s="68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170"/>
      <c r="AK28" s="39"/>
      <c r="AL28" s="171"/>
    </row>
    <row r="29" spans="1:40" x14ac:dyDescent="0.2">
      <c r="B29" s="39"/>
      <c r="C29" s="39"/>
      <c r="D29" s="68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170"/>
      <c r="AK29" s="39"/>
      <c r="AL29" s="171"/>
    </row>
    <row r="30" spans="1:40" x14ac:dyDescent="0.2">
      <c r="B30" s="39"/>
      <c r="C30" s="39"/>
      <c r="D30" s="68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170"/>
      <c r="AK30" s="39"/>
      <c r="AL30" s="171"/>
    </row>
    <row r="31" spans="1:40" x14ac:dyDescent="0.2">
      <c r="B31" s="39"/>
      <c r="C31" s="39"/>
      <c r="D31" s="68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170"/>
      <c r="AK31" s="39"/>
      <c r="AL31" s="171"/>
    </row>
    <row r="32" spans="1:40" x14ac:dyDescent="0.2">
      <c r="B32" s="39"/>
      <c r="C32" s="39"/>
      <c r="D32" s="68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170"/>
      <c r="AK32" s="39"/>
      <c r="AL32" s="171"/>
    </row>
    <row r="33" spans="1:38" ht="18" thickBot="1" x14ac:dyDescent="0.25">
      <c r="A33" s="5" t="s">
        <v>28</v>
      </c>
      <c r="B33" s="39"/>
      <c r="C33" s="39"/>
      <c r="D33" s="70"/>
      <c r="E33" s="47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47"/>
      <c r="AD33" s="47"/>
      <c r="AE33" s="39"/>
      <c r="AF33" s="39"/>
      <c r="AG33" s="39"/>
      <c r="AH33" s="47"/>
      <c r="AI33" s="47"/>
      <c r="AJ33" s="180"/>
      <c r="AK33" s="47"/>
      <c r="AL33" s="171"/>
    </row>
    <row r="34" spans="1:38" ht="31.5" customHeight="1" x14ac:dyDescent="0.2">
      <c r="B34" s="39"/>
      <c r="C34" s="39"/>
      <c r="D34" s="432" t="s">
        <v>487</v>
      </c>
      <c r="E34" s="432"/>
      <c r="F34" s="237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433" t="s">
        <v>279</v>
      </c>
      <c r="AD34" s="433"/>
      <c r="AE34" s="433"/>
      <c r="AF34" s="433"/>
      <c r="AG34" s="433"/>
      <c r="AH34" s="433"/>
      <c r="AI34" s="433"/>
      <c r="AJ34" s="433"/>
      <c r="AK34" s="433"/>
      <c r="AL34" s="171"/>
    </row>
    <row r="35" spans="1:38" ht="31.5" customHeight="1" x14ac:dyDescent="0.2">
      <c r="B35" s="39"/>
      <c r="C35" s="39"/>
      <c r="D35" s="434" t="s">
        <v>139</v>
      </c>
      <c r="E35" s="434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33" t="s">
        <v>349</v>
      </c>
      <c r="AD35" s="433"/>
      <c r="AE35" s="433"/>
      <c r="AF35" s="433"/>
      <c r="AG35" s="433"/>
      <c r="AH35" s="433"/>
      <c r="AI35" s="433"/>
      <c r="AJ35" s="433"/>
      <c r="AK35" s="433"/>
      <c r="AL35" s="171"/>
    </row>
    <row r="36" spans="1:38" x14ac:dyDescent="0.2">
      <c r="B36" s="48"/>
      <c r="C36" s="48"/>
      <c r="D36" s="68"/>
      <c r="E36" s="48"/>
      <c r="F36" s="48"/>
      <c r="G36" s="48"/>
      <c r="H36" s="48"/>
      <c r="AK36" s="48"/>
      <c r="AL36" s="182"/>
    </row>
    <row r="37" spans="1:38" x14ac:dyDescent="0.2">
      <c r="B37" s="48"/>
      <c r="C37" s="48"/>
      <c r="D37" s="68"/>
      <c r="E37" s="48"/>
      <c r="F37" s="48"/>
      <c r="G37" s="48"/>
      <c r="H37" s="48"/>
      <c r="AK37" s="48"/>
      <c r="AL37" s="182"/>
    </row>
    <row r="38" spans="1:38" x14ac:dyDescent="0.2">
      <c r="B38" s="48"/>
      <c r="C38" s="48"/>
      <c r="D38" s="68"/>
      <c r="E38" s="48"/>
      <c r="F38" s="48"/>
      <c r="G38" s="48"/>
      <c r="H38" s="48"/>
      <c r="I38" s="48" t="s">
        <v>90</v>
      </c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181">
        <f>+AJ16+AJ17+AJ18+AJ19+AJ20+AJ21+AJ22</f>
        <v>11144</v>
      </c>
      <c r="AK38" s="48"/>
      <c r="AL38" s="182"/>
    </row>
    <row r="39" spans="1:38" x14ac:dyDescent="0.2">
      <c r="B39" s="48"/>
      <c r="C39" s="48"/>
      <c r="D39" s="68"/>
      <c r="E39" s="48"/>
      <c r="F39" s="48"/>
      <c r="G39" s="48"/>
      <c r="H39" s="48"/>
      <c r="I39" s="48" t="s">
        <v>91</v>
      </c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181">
        <v>0</v>
      </c>
      <c r="AK39" s="48"/>
      <c r="AL39" s="182"/>
    </row>
    <row r="40" spans="1:38" x14ac:dyDescent="0.2">
      <c r="B40" s="48"/>
      <c r="C40" s="48"/>
      <c r="D40" s="6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181">
        <f>+AJ38+AJ39</f>
        <v>11144</v>
      </c>
      <c r="AK40" s="48"/>
      <c r="AL40" s="182"/>
    </row>
    <row r="41" spans="1:38" x14ac:dyDescent="0.2">
      <c r="B41" s="48"/>
      <c r="C41" s="48"/>
      <c r="D41" s="6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183"/>
      <c r="AK41" s="48"/>
      <c r="AL41" s="182"/>
    </row>
    <row r="42" spans="1:38" x14ac:dyDescent="0.2">
      <c r="AJ42" s="184"/>
    </row>
  </sheetData>
  <mergeCells count="16">
    <mergeCell ref="B11:AJ11"/>
    <mergeCell ref="B12:AJ12"/>
    <mergeCell ref="I13:P13"/>
    <mergeCell ref="T13:Y13"/>
    <mergeCell ref="AC13:AC15"/>
    <mergeCell ref="AD13:AI13"/>
    <mergeCell ref="AJ13:AJ15"/>
    <mergeCell ref="I14:I15"/>
    <mergeCell ref="O14:O15"/>
    <mergeCell ref="P14:P15"/>
    <mergeCell ref="AI14:AI15"/>
    <mergeCell ref="B24:H24"/>
    <mergeCell ref="D34:E34"/>
    <mergeCell ref="AC34:AK34"/>
    <mergeCell ref="D35:E35"/>
    <mergeCell ref="AC35:AK35"/>
  </mergeCells>
  <pageMargins left="0.7" right="0.7" top="0.75" bottom="0.75" header="0.3" footer="0.3"/>
  <pageSetup scale="54"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AM69"/>
  <sheetViews>
    <sheetView showGridLines="0" workbookViewId="0">
      <selection activeCell="E10" sqref="E10:E21"/>
    </sheetView>
  </sheetViews>
  <sheetFormatPr baseColWidth="10" defaultRowHeight="12.75" x14ac:dyDescent="0.2"/>
  <cols>
    <col min="3" max="3" width="31" style="34" customWidth="1"/>
    <col min="4" max="4" width="17.140625" style="35" customWidth="1"/>
    <col min="5" max="5" width="22.7109375" customWidth="1"/>
    <col min="6" max="6" width="13.140625" customWidth="1"/>
    <col min="7" max="7" width="13.42578125" hidden="1" customWidth="1"/>
    <col min="8" max="8" width="13.85546875" style="195" customWidth="1"/>
    <col min="9" max="9" width="27.85546875" customWidth="1"/>
    <col min="10" max="36" width="0" hidden="1" customWidth="1"/>
  </cols>
  <sheetData>
    <row r="2" spans="1:39" x14ac:dyDescent="0.2">
      <c r="A2" s="39"/>
      <c r="B2" s="39"/>
      <c r="C2" s="44"/>
      <c r="D2" s="44"/>
      <c r="E2" s="39"/>
      <c r="F2" s="39"/>
      <c r="G2" s="39"/>
      <c r="H2" s="187"/>
      <c r="I2" s="39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</row>
    <row r="3" spans="1:39" ht="20.25" customHeight="1" x14ac:dyDescent="0.2">
      <c r="A3" s="39"/>
      <c r="B3" s="39"/>
      <c r="C3" s="434" t="s">
        <v>95</v>
      </c>
      <c r="D3" s="434"/>
      <c r="E3" s="434"/>
      <c r="F3" s="434"/>
      <c r="G3" s="434"/>
      <c r="H3" s="434"/>
      <c r="I3" s="434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</row>
    <row r="4" spans="1:39" x14ac:dyDescent="0.2">
      <c r="A4" s="39"/>
      <c r="B4" s="39"/>
      <c r="C4" s="44"/>
      <c r="D4" s="44"/>
      <c r="E4" s="39"/>
      <c r="F4" s="39"/>
      <c r="G4" s="39"/>
      <c r="H4" s="187"/>
      <c r="I4" s="39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</row>
    <row r="5" spans="1:39" x14ac:dyDescent="0.2">
      <c r="A5" s="39"/>
      <c r="B5" s="39"/>
      <c r="C5" s="44"/>
      <c r="D5" s="44"/>
      <c r="E5" s="39"/>
      <c r="F5" s="39"/>
      <c r="G5" s="39"/>
      <c r="H5" s="187"/>
      <c r="I5" s="39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</row>
    <row r="6" spans="1:39" x14ac:dyDescent="0.2">
      <c r="A6" s="451" t="s">
        <v>490</v>
      </c>
      <c r="B6" s="451"/>
      <c r="C6" s="451"/>
      <c r="D6" s="451"/>
      <c r="E6" s="451"/>
      <c r="F6" s="451"/>
      <c r="G6" s="451"/>
      <c r="H6" s="451"/>
      <c r="I6" s="451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</row>
    <row r="7" spans="1:39" x14ac:dyDescent="0.2">
      <c r="A7" s="446" t="s">
        <v>134</v>
      </c>
      <c r="B7" s="197"/>
      <c r="C7" s="452" t="s">
        <v>14</v>
      </c>
      <c r="D7" s="452" t="s">
        <v>27</v>
      </c>
      <c r="E7" s="38"/>
      <c r="F7" s="37" t="s">
        <v>133</v>
      </c>
      <c r="G7" s="37" t="s">
        <v>1</v>
      </c>
      <c r="H7" s="455" t="s">
        <v>314</v>
      </c>
      <c r="I7" s="446" t="s">
        <v>311</v>
      </c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</row>
    <row r="8" spans="1:39" x14ac:dyDescent="0.2">
      <c r="A8" s="447"/>
      <c r="B8" s="198" t="s">
        <v>353</v>
      </c>
      <c r="C8" s="453"/>
      <c r="D8" s="453"/>
      <c r="E8" s="37" t="s">
        <v>96</v>
      </c>
      <c r="F8" s="51" t="s">
        <v>15</v>
      </c>
      <c r="G8" s="37" t="s">
        <v>16</v>
      </c>
      <c r="H8" s="456"/>
      <c r="I8" s="447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</row>
    <row r="9" spans="1:39" x14ac:dyDescent="0.2">
      <c r="A9" s="448"/>
      <c r="B9" s="199"/>
      <c r="C9" s="454"/>
      <c r="D9" s="454"/>
      <c r="E9" s="37"/>
      <c r="F9" s="37"/>
      <c r="G9" s="37"/>
      <c r="H9" s="457"/>
      <c r="I9" s="4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186">
        <f>+H10+H11+H12+H13+H14+H15+H16+H17+H18+H19+H20+H21</f>
        <v>16064</v>
      </c>
      <c r="AM9" t="s">
        <v>90</v>
      </c>
    </row>
    <row r="10" spans="1:39" ht="25.5" x14ac:dyDescent="0.2">
      <c r="A10" s="38">
        <v>1</v>
      </c>
      <c r="B10" s="38" t="s">
        <v>353</v>
      </c>
      <c r="C10" s="254" t="s">
        <v>258</v>
      </c>
      <c r="D10" s="81" t="s">
        <v>97</v>
      </c>
      <c r="E10" s="245"/>
      <c r="F10" s="245">
        <v>15</v>
      </c>
      <c r="G10" s="246">
        <v>92.6</v>
      </c>
      <c r="H10" s="255">
        <f>F10*G10</f>
        <v>1389</v>
      </c>
      <c r="I10" s="16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169"/>
      <c r="AM10" t="s">
        <v>91</v>
      </c>
    </row>
    <row r="11" spans="1:39" ht="38.25" x14ac:dyDescent="0.2">
      <c r="A11" s="38">
        <v>2</v>
      </c>
      <c r="B11" s="38" t="s">
        <v>353</v>
      </c>
      <c r="C11" s="254" t="s">
        <v>259</v>
      </c>
      <c r="D11" s="81" t="s">
        <v>98</v>
      </c>
      <c r="E11" s="245"/>
      <c r="F11" s="245">
        <v>15</v>
      </c>
      <c r="G11" s="246">
        <v>133.33000000000001</v>
      </c>
      <c r="H11" s="255">
        <v>2000</v>
      </c>
      <c r="I11" s="16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</row>
    <row r="12" spans="1:39" ht="25.5" x14ac:dyDescent="0.2">
      <c r="A12" s="38">
        <v>3</v>
      </c>
      <c r="B12" s="38" t="s">
        <v>353</v>
      </c>
      <c r="C12" s="254" t="s">
        <v>260</v>
      </c>
      <c r="D12" s="81" t="s">
        <v>137</v>
      </c>
      <c r="E12" s="245"/>
      <c r="F12" s="245">
        <v>15</v>
      </c>
      <c r="G12" s="246">
        <v>86.73</v>
      </c>
      <c r="H12" s="255">
        <v>1301</v>
      </c>
      <c r="I12" s="16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</row>
    <row r="13" spans="1:39" ht="25.5" x14ac:dyDescent="0.2">
      <c r="A13" s="38">
        <v>4</v>
      </c>
      <c r="B13" s="38" t="s">
        <v>353</v>
      </c>
      <c r="C13" s="254" t="s">
        <v>471</v>
      </c>
      <c r="D13" s="81" t="s">
        <v>138</v>
      </c>
      <c r="E13" s="245"/>
      <c r="F13" s="245">
        <v>15</v>
      </c>
      <c r="G13" s="246">
        <v>86.73</v>
      </c>
      <c r="H13" s="255">
        <v>1301</v>
      </c>
      <c r="I13" s="16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</row>
    <row r="14" spans="1:39" ht="25.5" x14ac:dyDescent="0.2">
      <c r="A14" s="38">
        <v>5</v>
      </c>
      <c r="B14" s="38" t="s">
        <v>353</v>
      </c>
      <c r="C14" s="254" t="s">
        <v>261</v>
      </c>
      <c r="D14" s="81" t="s">
        <v>107</v>
      </c>
      <c r="E14" s="245"/>
      <c r="F14" s="245">
        <v>15</v>
      </c>
      <c r="G14" s="246">
        <v>80</v>
      </c>
      <c r="H14" s="255">
        <v>1200</v>
      </c>
      <c r="I14" s="16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</row>
    <row r="15" spans="1:39" ht="25.5" x14ac:dyDescent="0.2">
      <c r="A15" s="38">
        <v>6</v>
      </c>
      <c r="B15" s="38" t="s">
        <v>353</v>
      </c>
      <c r="C15" s="254" t="s">
        <v>262</v>
      </c>
      <c r="D15" s="81" t="s">
        <v>107</v>
      </c>
      <c r="E15" s="245"/>
      <c r="F15" s="245">
        <v>15</v>
      </c>
      <c r="G15" s="246">
        <v>100</v>
      </c>
      <c r="H15" s="255">
        <v>1500</v>
      </c>
      <c r="I15" s="16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</row>
    <row r="16" spans="1:39" ht="38.25" x14ac:dyDescent="0.2">
      <c r="A16" s="38">
        <v>7</v>
      </c>
      <c r="B16" s="38" t="s">
        <v>353</v>
      </c>
      <c r="C16" s="254" t="s">
        <v>263</v>
      </c>
      <c r="D16" s="81" t="s">
        <v>141</v>
      </c>
      <c r="E16" s="245"/>
      <c r="F16" s="245">
        <v>15</v>
      </c>
      <c r="G16" s="246">
        <v>65</v>
      </c>
      <c r="H16" s="255">
        <f>F16*G16</f>
        <v>975</v>
      </c>
      <c r="I16" s="16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</row>
    <row r="17" spans="1:38" s="4" customFormat="1" ht="25.5" x14ac:dyDescent="0.2">
      <c r="A17" s="38">
        <v>8</v>
      </c>
      <c r="B17" s="38" t="s">
        <v>353</v>
      </c>
      <c r="C17" s="256" t="s">
        <v>130</v>
      </c>
      <c r="D17" s="257" t="s">
        <v>131</v>
      </c>
      <c r="E17" s="38"/>
      <c r="F17" s="245">
        <v>15</v>
      </c>
      <c r="G17" s="258">
        <v>88.67</v>
      </c>
      <c r="H17" s="255">
        <v>1330</v>
      </c>
      <c r="I17" s="3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</row>
    <row r="18" spans="1:38" s="4" customFormat="1" ht="25.5" x14ac:dyDescent="0.2">
      <c r="A18" s="38">
        <v>9</v>
      </c>
      <c r="B18" s="38" t="s">
        <v>353</v>
      </c>
      <c r="C18" s="256" t="s">
        <v>264</v>
      </c>
      <c r="D18" s="81" t="s">
        <v>140</v>
      </c>
      <c r="E18" s="38"/>
      <c r="F18" s="245">
        <v>15</v>
      </c>
      <c r="G18" s="258">
        <v>64.53</v>
      </c>
      <c r="H18" s="255">
        <v>968</v>
      </c>
      <c r="I18" s="3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</row>
    <row r="19" spans="1:38" ht="20.25" customHeight="1" x14ac:dyDescent="0.2">
      <c r="A19" s="38">
        <v>10</v>
      </c>
      <c r="B19" s="38" t="s">
        <v>353</v>
      </c>
      <c r="C19" s="256" t="s">
        <v>142</v>
      </c>
      <c r="D19" s="257"/>
      <c r="E19" s="38"/>
      <c r="F19" s="245">
        <v>15</v>
      </c>
      <c r="G19" s="38">
        <v>80</v>
      </c>
      <c r="H19" s="255">
        <v>1200</v>
      </c>
      <c r="I19" s="38"/>
      <c r="J19" s="48" t="s">
        <v>313</v>
      </c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</row>
    <row r="20" spans="1:38" ht="39.75" customHeight="1" x14ac:dyDescent="0.2">
      <c r="A20" s="38">
        <v>11</v>
      </c>
      <c r="B20" s="210" t="s">
        <v>353</v>
      </c>
      <c r="C20" s="259" t="s">
        <v>275</v>
      </c>
      <c r="D20" s="256" t="s">
        <v>152</v>
      </c>
      <c r="E20" s="210"/>
      <c r="F20" s="245">
        <v>15</v>
      </c>
      <c r="G20" s="260">
        <f>H20/15</f>
        <v>113.33333333333333</v>
      </c>
      <c r="H20" s="255">
        <v>1700</v>
      </c>
      <c r="I20" s="3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</row>
    <row r="21" spans="1:38" ht="41.25" customHeight="1" x14ac:dyDescent="0.2">
      <c r="A21" s="261">
        <v>12</v>
      </c>
      <c r="B21" s="261" t="s">
        <v>353</v>
      </c>
      <c r="C21" s="256" t="s">
        <v>312</v>
      </c>
      <c r="D21" s="259" t="s">
        <v>153</v>
      </c>
      <c r="E21" s="38"/>
      <c r="F21" s="262">
        <v>15</v>
      </c>
      <c r="G21" s="260">
        <v>80</v>
      </c>
      <c r="H21" s="255">
        <f>F21*G21</f>
        <v>1200</v>
      </c>
      <c r="I21" s="3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</row>
    <row r="22" spans="1:38" ht="13.5" thickBot="1" x14ac:dyDescent="0.25">
      <c r="A22" s="442" t="s">
        <v>17</v>
      </c>
      <c r="B22" s="443"/>
      <c r="C22" s="443"/>
      <c r="D22" s="443"/>
      <c r="E22" s="443"/>
      <c r="F22" s="443"/>
      <c r="G22" s="444"/>
      <c r="H22" s="188">
        <f>SUM(H10:H21)</f>
        <v>16064</v>
      </c>
      <c r="I22" s="39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167"/>
    </row>
    <row r="23" spans="1:38" ht="13.5" thickTop="1" x14ac:dyDescent="0.2">
      <c r="A23" s="39"/>
      <c r="B23" s="39"/>
      <c r="C23" s="44"/>
      <c r="D23" s="44"/>
      <c r="E23" s="39"/>
      <c r="F23" s="39"/>
      <c r="G23" s="39"/>
      <c r="H23" s="187"/>
      <c r="I23" s="39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</row>
    <row r="24" spans="1:38" x14ac:dyDescent="0.2">
      <c r="A24" s="39"/>
      <c r="B24" s="39"/>
      <c r="C24" s="44"/>
      <c r="D24" s="44"/>
      <c r="E24" s="39"/>
      <c r="F24" s="39"/>
      <c r="G24" s="39"/>
      <c r="H24" s="187"/>
      <c r="I24" s="39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</row>
    <row r="25" spans="1:38" ht="13.5" thickBot="1" x14ac:dyDescent="0.25">
      <c r="A25" s="39"/>
      <c r="B25" s="39"/>
      <c r="C25" s="44"/>
      <c r="D25" s="44"/>
      <c r="E25" s="39"/>
      <c r="F25" s="39"/>
      <c r="G25" s="39"/>
      <c r="H25" s="189"/>
      <c r="I25" s="47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</row>
    <row r="26" spans="1:38" ht="15" customHeight="1" x14ac:dyDescent="0.2">
      <c r="A26" s="432" t="s">
        <v>487</v>
      </c>
      <c r="B26" s="432"/>
      <c r="C26" s="432"/>
      <c r="D26" s="44"/>
      <c r="E26" s="41"/>
      <c r="F26" s="41"/>
      <c r="G26" s="41"/>
      <c r="H26" s="433" t="s">
        <v>279</v>
      </c>
      <c r="I26" s="433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</row>
    <row r="27" spans="1:38" ht="12.95" customHeight="1" x14ac:dyDescent="0.2">
      <c r="A27" s="434" t="s">
        <v>127</v>
      </c>
      <c r="B27" s="434"/>
      <c r="C27" s="434"/>
      <c r="D27" s="44"/>
      <c r="E27" s="39"/>
      <c r="F27" s="39"/>
      <c r="G27" s="39"/>
      <c r="H27" s="434" t="s">
        <v>99</v>
      </c>
      <c r="I27" s="434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</row>
    <row r="28" spans="1:38" x14ac:dyDescent="0.2">
      <c r="A28" s="48"/>
      <c r="B28" s="48"/>
      <c r="C28" s="44"/>
      <c r="D28" s="56"/>
      <c r="E28" s="48"/>
      <c r="F28" s="48"/>
      <c r="G28" s="48"/>
      <c r="H28" s="190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</row>
    <row r="29" spans="1:38" x14ac:dyDescent="0.2">
      <c r="A29" s="48"/>
      <c r="B29" s="48"/>
      <c r="C29" s="44"/>
      <c r="D29" s="56"/>
      <c r="E29" s="48"/>
      <c r="F29" s="48"/>
      <c r="G29" s="48"/>
      <c r="H29" s="190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</row>
    <row r="30" spans="1:38" x14ac:dyDescent="0.2">
      <c r="A30" s="48"/>
      <c r="B30" s="48"/>
      <c r="C30" s="44"/>
      <c r="D30" s="56"/>
      <c r="E30" s="48"/>
      <c r="F30" s="48"/>
      <c r="G30" s="48"/>
      <c r="H30" s="190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</row>
    <row r="31" spans="1:38" ht="15" customHeight="1" x14ac:dyDescent="0.2">
      <c r="A31" s="48"/>
      <c r="B31" s="48"/>
      <c r="C31" s="44"/>
      <c r="D31" s="56"/>
      <c r="E31" s="48"/>
      <c r="F31" s="48"/>
      <c r="G31" s="48"/>
      <c r="H31" s="190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</row>
    <row r="32" spans="1:38" ht="15" customHeight="1" x14ac:dyDescent="0.2">
      <c r="A32" s="48"/>
      <c r="B32" s="48"/>
      <c r="C32" s="44"/>
      <c r="D32" s="56"/>
      <c r="E32" s="48"/>
      <c r="F32" s="48"/>
      <c r="G32" s="48"/>
      <c r="H32" s="190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1:37" ht="20.25" customHeight="1" x14ac:dyDescent="0.2">
      <c r="A33" s="48"/>
      <c r="B33" s="48"/>
      <c r="C33" s="44"/>
      <c r="D33" s="56"/>
      <c r="E33" s="48"/>
      <c r="F33" s="48"/>
      <c r="G33" s="48"/>
      <c r="H33" s="190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</row>
    <row r="34" spans="1:37" x14ac:dyDescent="0.2">
      <c r="A34" s="48"/>
      <c r="B34" s="48"/>
      <c r="C34" s="44"/>
      <c r="D34" s="56"/>
      <c r="E34" s="48"/>
      <c r="F34" s="48"/>
      <c r="G34" s="48"/>
      <c r="H34" s="190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</row>
    <row r="35" spans="1:37" hidden="1" x14ac:dyDescent="0.2">
      <c r="A35" s="48"/>
      <c r="B35" s="48"/>
      <c r="C35" s="44"/>
      <c r="D35" s="56"/>
      <c r="E35" s="48"/>
      <c r="F35" s="48"/>
      <c r="G35" s="48"/>
      <c r="H35" s="190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</row>
    <row r="36" spans="1:37" hidden="1" x14ac:dyDescent="0.2">
      <c r="A36" s="48"/>
      <c r="B36" s="48"/>
      <c r="C36" s="44"/>
      <c r="D36" s="56"/>
      <c r="E36" s="48"/>
      <c r="F36" s="48"/>
      <c r="G36" s="48"/>
      <c r="H36" s="190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idden="1" x14ac:dyDescent="0.2">
      <c r="A37" s="48"/>
      <c r="B37" s="48"/>
      <c r="C37" s="44"/>
      <c r="D37" s="56"/>
      <c r="E37" s="48"/>
      <c r="F37" s="48" t="s">
        <v>90</v>
      </c>
      <c r="G37" s="48"/>
      <c r="H37" s="190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idden="1" x14ac:dyDescent="0.2">
      <c r="A38" s="48"/>
      <c r="B38" s="48"/>
      <c r="C38" s="44"/>
      <c r="D38" s="56"/>
      <c r="E38" s="48"/>
      <c r="F38" s="48" t="s">
        <v>91</v>
      </c>
      <c r="G38" s="48"/>
      <c r="H38" s="190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idden="1" x14ac:dyDescent="0.2">
      <c r="A39" s="48"/>
      <c r="B39" s="48"/>
      <c r="C39" s="44"/>
      <c r="D39" s="56"/>
      <c r="E39" s="48"/>
      <c r="F39" s="48"/>
      <c r="G39" s="48"/>
      <c r="H39" s="190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</row>
    <row r="40" spans="1:37" hidden="1" x14ac:dyDescent="0.2">
      <c r="A40" s="48"/>
      <c r="B40" s="48"/>
      <c r="C40" s="44"/>
      <c r="D40" s="56"/>
      <c r="E40" s="48"/>
      <c r="F40" s="48"/>
      <c r="G40" s="48"/>
      <c r="H40" s="190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</row>
    <row r="41" spans="1:37" hidden="1" x14ac:dyDescent="0.2">
      <c r="A41" s="48"/>
      <c r="B41" s="48"/>
      <c r="C41" s="44"/>
      <c r="D41" s="56"/>
      <c r="E41" s="48"/>
      <c r="F41" s="48"/>
      <c r="G41" s="48"/>
      <c r="H41" s="190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</row>
    <row r="42" spans="1:37" x14ac:dyDescent="0.2">
      <c r="A42" s="48"/>
      <c r="B42" s="48"/>
      <c r="C42" s="56"/>
      <c r="D42" s="56"/>
      <c r="E42" s="42"/>
      <c r="F42" s="48"/>
      <c r="G42" s="42"/>
      <c r="H42" s="190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</row>
    <row r="43" spans="1:37" x14ac:dyDescent="0.2">
      <c r="A43" s="48"/>
      <c r="B43" s="48"/>
      <c r="C43" s="56"/>
      <c r="D43" s="56"/>
      <c r="E43" s="48"/>
      <c r="F43" s="48"/>
      <c r="G43" s="48"/>
      <c r="H43" s="190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</row>
    <row r="44" spans="1:37" x14ac:dyDescent="0.2">
      <c r="A44" s="435" t="s">
        <v>123</v>
      </c>
      <c r="B44" s="435"/>
      <c r="C44" s="435"/>
      <c r="D44" s="435"/>
      <c r="E44" s="435"/>
      <c r="F44" s="435"/>
      <c r="G44" s="435"/>
      <c r="H44" s="435"/>
      <c r="I44" s="435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</row>
    <row r="45" spans="1:37" x14ac:dyDescent="0.2">
      <c r="A45" s="445" t="s">
        <v>486</v>
      </c>
      <c r="B45" s="445"/>
      <c r="C45" s="445"/>
      <c r="D45" s="445"/>
      <c r="E45" s="445"/>
      <c r="F45" s="445"/>
      <c r="G45" s="445"/>
      <c r="H45" s="445"/>
      <c r="I45" s="445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</row>
    <row r="46" spans="1:37" x14ac:dyDescent="0.2">
      <c r="A46" s="57"/>
      <c r="B46" s="57"/>
      <c r="C46" s="58"/>
      <c r="D46" s="58"/>
      <c r="E46" s="57"/>
      <c r="F46" s="166" t="s">
        <v>133</v>
      </c>
      <c r="G46" s="166" t="s">
        <v>1</v>
      </c>
      <c r="H46" s="191" t="s">
        <v>303</v>
      </c>
      <c r="I46" s="446" t="s">
        <v>311</v>
      </c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</row>
    <row r="47" spans="1:37" x14ac:dyDescent="0.2">
      <c r="A47" s="52" t="s">
        <v>134</v>
      </c>
      <c r="B47" s="52" t="s">
        <v>353</v>
      </c>
      <c r="C47" s="53" t="s">
        <v>14</v>
      </c>
      <c r="D47" s="53" t="s">
        <v>27</v>
      </c>
      <c r="E47" s="52" t="s">
        <v>96</v>
      </c>
      <c r="F47" s="165" t="s">
        <v>15</v>
      </c>
      <c r="G47" s="52" t="s">
        <v>16</v>
      </c>
      <c r="H47" s="192" t="s">
        <v>310</v>
      </c>
      <c r="I47" s="447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</row>
    <row r="48" spans="1:37" x14ac:dyDescent="0.2">
      <c r="A48" s="54"/>
      <c r="B48" s="54"/>
      <c r="C48" s="55"/>
      <c r="D48" s="55"/>
      <c r="E48" s="54"/>
      <c r="F48" s="54"/>
      <c r="G48" s="54"/>
      <c r="H48" s="193" t="s">
        <v>309</v>
      </c>
      <c r="I48" s="4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</row>
    <row r="49" spans="1:37" ht="25.5" x14ac:dyDescent="0.2">
      <c r="A49" s="263">
        <v>1</v>
      </c>
      <c r="B49" s="263" t="s">
        <v>353</v>
      </c>
      <c r="C49" s="254" t="s">
        <v>265</v>
      </c>
      <c r="D49" s="264" t="s">
        <v>124</v>
      </c>
      <c r="E49" s="265" t="s">
        <v>145</v>
      </c>
      <c r="F49" s="265">
        <v>15</v>
      </c>
      <c r="G49" s="266">
        <f>H49/F49</f>
        <v>100</v>
      </c>
      <c r="H49" s="267">
        <v>1500</v>
      </c>
      <c r="I49" s="164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</row>
    <row r="50" spans="1:37" ht="25.5" x14ac:dyDescent="0.2">
      <c r="A50" s="263">
        <v>2</v>
      </c>
      <c r="B50" s="263" t="s">
        <v>353</v>
      </c>
      <c r="C50" s="254" t="s">
        <v>351</v>
      </c>
      <c r="D50" s="264" t="s">
        <v>352</v>
      </c>
      <c r="E50" s="265" t="s">
        <v>467</v>
      </c>
      <c r="F50" s="265">
        <v>15</v>
      </c>
      <c r="G50" s="266">
        <f>H50/F50</f>
        <v>129.80000000000001</v>
      </c>
      <c r="H50" s="267">
        <v>1947</v>
      </c>
      <c r="I50" s="164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</row>
    <row r="51" spans="1:37" s="5" customFormat="1" ht="21.75" customHeight="1" x14ac:dyDescent="0.2">
      <c r="A51" s="263">
        <v>3</v>
      </c>
      <c r="B51" s="263" t="s">
        <v>353</v>
      </c>
      <c r="C51" s="254" t="s">
        <v>266</v>
      </c>
      <c r="D51" s="265" t="s">
        <v>105</v>
      </c>
      <c r="E51" s="265" t="s">
        <v>144</v>
      </c>
      <c r="F51" s="265">
        <v>15</v>
      </c>
      <c r="G51" s="266">
        <v>100</v>
      </c>
      <c r="H51" s="267">
        <v>1500</v>
      </c>
      <c r="I51" s="162"/>
      <c r="J51" s="158"/>
      <c r="K51" s="158"/>
      <c r="L51" s="158"/>
      <c r="M51" s="158"/>
      <c r="N51" s="158"/>
      <c r="O51" s="156"/>
      <c r="P51" s="161"/>
      <c r="Q51" s="156"/>
      <c r="R51" s="156"/>
      <c r="S51" s="156"/>
      <c r="T51" s="156"/>
      <c r="U51" s="160"/>
      <c r="V51" s="156"/>
      <c r="W51" s="156"/>
      <c r="X51" s="156"/>
      <c r="Y51" s="156"/>
      <c r="Z51" s="156"/>
      <c r="AA51" s="159"/>
      <c r="AB51" s="156"/>
      <c r="AC51" s="156"/>
      <c r="AD51" s="156"/>
      <c r="AE51" s="158"/>
      <c r="AF51" s="158"/>
      <c r="AG51" s="157"/>
      <c r="AH51" s="156"/>
      <c r="AI51" s="156">
        <v>2000</v>
      </c>
      <c r="AJ51" s="163"/>
      <c r="AK51" s="48"/>
    </row>
    <row r="52" spans="1:37" s="5" customFormat="1" ht="26.25" customHeight="1" x14ac:dyDescent="0.2">
      <c r="A52" s="263">
        <v>4</v>
      </c>
      <c r="B52" s="263" t="s">
        <v>353</v>
      </c>
      <c r="C52" s="254" t="s">
        <v>267</v>
      </c>
      <c r="D52" s="264" t="s">
        <v>129</v>
      </c>
      <c r="E52" s="265" t="s">
        <v>143</v>
      </c>
      <c r="F52" s="265">
        <v>15</v>
      </c>
      <c r="G52" s="266">
        <v>105.33</v>
      </c>
      <c r="H52" s="267">
        <v>1580</v>
      </c>
      <c r="I52" s="162"/>
      <c r="J52" s="158"/>
      <c r="K52" s="158"/>
      <c r="L52" s="158"/>
      <c r="M52" s="158"/>
      <c r="N52" s="158"/>
      <c r="O52" s="156"/>
      <c r="P52" s="161"/>
      <c r="Q52" s="156"/>
      <c r="R52" s="156"/>
      <c r="S52" s="156"/>
      <c r="T52" s="156"/>
      <c r="U52" s="160"/>
      <c r="V52" s="156"/>
      <c r="W52" s="156"/>
      <c r="X52" s="156"/>
      <c r="Y52" s="156"/>
      <c r="Z52" s="156"/>
      <c r="AA52" s="159"/>
      <c r="AB52" s="156"/>
      <c r="AC52" s="156"/>
      <c r="AD52" s="156"/>
      <c r="AE52" s="158"/>
      <c r="AF52" s="158"/>
      <c r="AG52" s="157"/>
      <c r="AH52" s="156"/>
      <c r="AI52" s="156">
        <v>1800</v>
      </c>
      <c r="AJ52" s="156"/>
      <c r="AK52" s="48"/>
    </row>
    <row r="53" spans="1:37" s="5" customFormat="1" ht="38.25" x14ac:dyDescent="0.2">
      <c r="A53" s="263">
        <v>5</v>
      </c>
      <c r="B53" s="263" t="s">
        <v>353</v>
      </c>
      <c r="C53" s="254" t="s">
        <v>157</v>
      </c>
      <c r="D53" s="264" t="s">
        <v>155</v>
      </c>
      <c r="E53" s="265" t="s">
        <v>307</v>
      </c>
      <c r="F53" s="265">
        <v>15</v>
      </c>
      <c r="G53" s="266">
        <f>H53/F53</f>
        <v>80</v>
      </c>
      <c r="H53" s="267">
        <v>1200</v>
      </c>
      <c r="I53" s="162"/>
      <c r="J53" s="158"/>
      <c r="K53" s="158"/>
      <c r="L53" s="158"/>
      <c r="M53" s="158"/>
      <c r="N53" s="158"/>
      <c r="O53" s="156"/>
      <c r="P53" s="161"/>
      <c r="Q53" s="156"/>
      <c r="R53" s="156"/>
      <c r="S53" s="156"/>
      <c r="T53" s="156"/>
      <c r="U53" s="160"/>
      <c r="V53" s="156"/>
      <c r="W53" s="156"/>
      <c r="X53" s="156"/>
      <c r="Y53" s="156"/>
      <c r="Z53" s="156"/>
      <c r="AA53" s="159"/>
      <c r="AB53" s="156"/>
      <c r="AC53" s="156"/>
      <c r="AD53" s="156"/>
      <c r="AE53" s="158"/>
      <c r="AF53" s="158"/>
      <c r="AG53" s="157"/>
      <c r="AH53" s="156"/>
      <c r="AI53" s="156"/>
      <c r="AJ53" s="156"/>
      <c r="AK53" s="48"/>
    </row>
    <row r="54" spans="1:37" ht="26.25" customHeight="1" thickBot="1" x14ac:dyDescent="0.25">
      <c r="A54" s="449" t="s">
        <v>17</v>
      </c>
      <c r="B54" s="383"/>
      <c r="C54" s="383"/>
      <c r="D54" s="383"/>
      <c r="E54" s="383"/>
      <c r="F54" s="383"/>
      <c r="G54" s="62"/>
      <c r="H54" s="194">
        <f>SUM(H49:H53)</f>
        <v>7727</v>
      </c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</row>
    <row r="55" spans="1:37" ht="13.5" thickTop="1" x14ac:dyDescent="0.2">
      <c r="A55" s="48"/>
      <c r="B55" s="48"/>
      <c r="C55" s="56"/>
      <c r="D55" s="56"/>
      <c r="E55" s="48"/>
      <c r="F55" s="48"/>
      <c r="G55" s="48"/>
      <c r="H55" s="190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</row>
    <row r="56" spans="1:37" x14ac:dyDescent="0.2">
      <c r="A56" s="48"/>
      <c r="B56" s="48"/>
      <c r="C56" s="56"/>
      <c r="D56" s="56"/>
      <c r="E56" s="48"/>
      <c r="F56" s="48"/>
      <c r="G56" s="48"/>
      <c r="H56" s="190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</row>
    <row r="57" spans="1:37" x14ac:dyDescent="0.2">
      <c r="A57" s="48"/>
      <c r="B57" s="48"/>
      <c r="C57" s="56"/>
      <c r="D57" s="56"/>
      <c r="E57" s="48"/>
      <c r="F57" s="48"/>
      <c r="G57" s="48"/>
      <c r="H57" s="190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</row>
    <row r="58" spans="1:37" ht="13.5" thickBot="1" x14ac:dyDescent="0.25">
      <c r="A58" s="59"/>
      <c r="B58" s="59"/>
      <c r="C58" s="60"/>
      <c r="D58" s="60"/>
      <c r="E58" s="48"/>
      <c r="F58" s="48"/>
      <c r="G58" s="48"/>
      <c r="H58" s="190"/>
      <c r="I58" s="59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59"/>
    </row>
    <row r="59" spans="1:37" ht="15" customHeight="1" x14ac:dyDescent="0.2">
      <c r="A59" s="434" t="s">
        <v>487</v>
      </c>
      <c r="B59" s="434"/>
      <c r="C59" s="434"/>
      <c r="D59" s="434"/>
      <c r="E59" s="48"/>
      <c r="F59" s="48"/>
      <c r="G59" s="48"/>
      <c r="H59" s="190"/>
      <c r="I59" s="450" t="s">
        <v>308</v>
      </c>
      <c r="J59" s="450"/>
      <c r="K59" s="450"/>
      <c r="L59" s="450"/>
      <c r="M59" s="450"/>
      <c r="N59" s="450"/>
      <c r="O59" s="450"/>
      <c r="P59" s="450"/>
      <c r="Q59" s="450"/>
      <c r="R59" s="450"/>
      <c r="S59" s="450"/>
      <c r="T59" s="450"/>
      <c r="U59" s="450"/>
      <c r="V59" s="450"/>
      <c r="W59" s="450"/>
      <c r="X59" s="450"/>
      <c r="Y59" s="450"/>
      <c r="Z59" s="450"/>
      <c r="AA59" s="450"/>
      <c r="AB59" s="450"/>
      <c r="AC59" s="450"/>
      <c r="AD59" s="450"/>
      <c r="AE59" s="450"/>
      <c r="AF59" s="450"/>
      <c r="AG59" s="450"/>
      <c r="AH59" s="450"/>
      <c r="AI59" s="450"/>
      <c r="AJ59" s="450"/>
      <c r="AK59" s="450"/>
    </row>
    <row r="60" spans="1:37" ht="20.25" customHeight="1" x14ac:dyDescent="0.2">
      <c r="A60" s="440" t="s">
        <v>127</v>
      </c>
      <c r="B60" s="440"/>
      <c r="C60" s="440"/>
      <c r="D60" s="440"/>
      <c r="E60" s="48"/>
      <c r="F60" s="48"/>
      <c r="G60" s="48"/>
      <c r="H60" s="190"/>
      <c r="I60" s="441" t="s">
        <v>99</v>
      </c>
      <c r="J60" s="441"/>
      <c r="K60" s="441"/>
      <c r="L60" s="441"/>
      <c r="M60" s="441"/>
      <c r="N60" s="441"/>
      <c r="O60" s="441"/>
      <c r="P60" s="441"/>
      <c r="Q60" s="441"/>
      <c r="R60" s="441"/>
      <c r="S60" s="441"/>
      <c r="T60" s="441"/>
      <c r="U60" s="441"/>
      <c r="V60" s="441"/>
      <c r="W60" s="441"/>
      <c r="X60" s="441"/>
      <c r="Y60" s="441"/>
      <c r="Z60" s="441"/>
      <c r="AA60" s="441"/>
      <c r="AB60" s="441"/>
      <c r="AC60" s="441"/>
      <c r="AD60" s="441"/>
      <c r="AE60" s="441"/>
      <c r="AF60" s="441"/>
      <c r="AG60" s="441"/>
      <c r="AH60" s="441"/>
      <c r="AI60" s="441"/>
      <c r="AJ60" s="441"/>
      <c r="AK60" s="441"/>
    </row>
    <row r="61" spans="1:37" x14ac:dyDescent="0.2">
      <c r="C61" s="35"/>
      <c r="E61" s="5"/>
      <c r="F61" s="5"/>
      <c r="G61" s="5"/>
      <c r="I61" s="5"/>
      <c r="J61" s="5"/>
    </row>
    <row r="62" spans="1:37" x14ac:dyDescent="0.2">
      <c r="C62" s="35"/>
      <c r="E62" s="5"/>
      <c r="F62" s="5"/>
      <c r="G62" s="5"/>
      <c r="I62" s="5"/>
      <c r="J62" s="5"/>
    </row>
    <row r="63" spans="1:37" ht="15.75" x14ac:dyDescent="0.25">
      <c r="C63" s="35"/>
      <c r="D63" s="36"/>
      <c r="E63" s="5"/>
      <c r="F63" s="5"/>
      <c r="G63" s="5"/>
      <c r="I63" s="5"/>
      <c r="J63" s="155"/>
    </row>
    <row r="64" spans="1:37" ht="15.75" x14ac:dyDescent="0.25">
      <c r="C64" s="35"/>
      <c r="D64" s="36"/>
      <c r="E64" s="5"/>
      <c r="F64" s="5"/>
      <c r="G64" s="5"/>
      <c r="I64" s="5"/>
      <c r="J64" s="155"/>
    </row>
    <row r="65" spans="3:10" ht="15.75" x14ac:dyDescent="0.25">
      <c r="C65" s="35"/>
      <c r="D65" s="36"/>
      <c r="E65" s="5"/>
      <c r="F65" s="5"/>
      <c r="G65" s="5"/>
      <c r="I65" s="5"/>
      <c r="J65" s="155"/>
    </row>
    <row r="66" spans="3:10" ht="15.75" x14ac:dyDescent="0.25">
      <c r="C66" s="35"/>
      <c r="D66" s="36"/>
      <c r="E66" s="5"/>
      <c r="F66" s="5" t="s">
        <v>90</v>
      </c>
      <c r="G66" s="5" t="s">
        <v>90</v>
      </c>
      <c r="H66" s="195">
        <f>SUM(H49:H53)</f>
        <v>7727</v>
      </c>
      <c r="I66" s="5"/>
      <c r="J66" s="155"/>
    </row>
    <row r="69" spans="3:10" x14ac:dyDescent="0.2">
      <c r="F69" t="s">
        <v>303</v>
      </c>
      <c r="H69" s="195">
        <f>H66+H67:H67</f>
        <v>7727</v>
      </c>
    </row>
  </sheetData>
  <mergeCells count="20">
    <mergeCell ref="C3:I3"/>
    <mergeCell ref="A6:I6"/>
    <mergeCell ref="A7:A9"/>
    <mergeCell ref="C7:C9"/>
    <mergeCell ref="D7:D9"/>
    <mergeCell ref="H7:H9"/>
    <mergeCell ref="I7:I9"/>
    <mergeCell ref="A60:D60"/>
    <mergeCell ref="I60:AK60"/>
    <mergeCell ref="A22:G22"/>
    <mergeCell ref="A26:C26"/>
    <mergeCell ref="H26:I26"/>
    <mergeCell ref="A27:C27"/>
    <mergeCell ref="H27:I27"/>
    <mergeCell ref="A44:I44"/>
    <mergeCell ref="A45:I45"/>
    <mergeCell ref="I46:I48"/>
    <mergeCell ref="A54:F54"/>
    <mergeCell ref="A59:D59"/>
    <mergeCell ref="I59:AK59"/>
  </mergeCells>
  <pageMargins left="0.70866141732283472" right="0.70866141732283472" top="0.74803149606299213" bottom="0.55118110236220474" header="0.31496062992125984" footer="0.31496062992125984"/>
  <pageSetup scale="78" fitToHeight="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52"/>
  <sheetViews>
    <sheetView showGridLines="0" zoomScale="84" zoomScaleNormal="84" workbookViewId="0">
      <selection activeCell="F8" sqref="F8:F36"/>
    </sheetView>
  </sheetViews>
  <sheetFormatPr baseColWidth="10" defaultColWidth="11.42578125" defaultRowHeight="14.25" x14ac:dyDescent="0.2"/>
  <cols>
    <col min="1" max="1" width="2.7109375" style="5" customWidth="1"/>
    <col min="2" max="3" width="4.5703125" style="5" customWidth="1"/>
    <col min="4" max="4" width="38.85546875" style="77" bestFit="1" customWidth="1"/>
    <col min="5" max="5" width="14.42578125" style="78" bestFit="1" customWidth="1"/>
    <col min="6" max="6" width="21.42578125" style="25" customWidth="1"/>
    <col min="7" max="7" width="5" style="25" customWidth="1"/>
    <col min="8" max="8" width="10.28515625" style="25" customWidth="1"/>
    <col min="9" max="9" width="12.7109375" style="25" customWidth="1"/>
    <col min="10" max="10" width="9.7109375" style="148" customWidth="1"/>
    <col min="11" max="11" width="11.5703125" style="354" customWidth="1"/>
    <col min="12" max="12" width="11" style="25" customWidth="1"/>
    <col min="13" max="13" width="12.85546875" style="25" customWidth="1"/>
    <col min="14" max="14" width="30" style="25" customWidth="1"/>
    <col min="15" max="16384" width="11.42578125" style="5"/>
  </cols>
  <sheetData>
    <row r="1" spans="1:14" x14ac:dyDescent="0.2">
      <c r="B1" s="270"/>
      <c r="C1" s="317"/>
      <c r="D1" s="129"/>
      <c r="E1" s="130"/>
      <c r="F1" s="131"/>
      <c r="G1" s="131"/>
      <c r="H1" s="131"/>
      <c r="I1" s="131"/>
      <c r="J1" s="318"/>
      <c r="K1" s="366"/>
      <c r="L1" s="131"/>
      <c r="M1" s="131"/>
      <c r="N1" s="132"/>
    </row>
    <row r="2" spans="1:14" ht="36" customHeight="1" x14ac:dyDescent="0.2">
      <c r="B2" s="319"/>
      <c r="C2" s="320"/>
      <c r="E2" s="387" t="s">
        <v>299</v>
      </c>
      <c r="F2" s="387"/>
      <c r="G2" s="387"/>
      <c r="H2" s="387"/>
      <c r="I2" s="387"/>
      <c r="J2" s="387"/>
      <c r="K2" s="387"/>
      <c r="L2" s="134"/>
      <c r="M2" s="134"/>
      <c r="N2" s="135"/>
    </row>
    <row r="3" spans="1:14" x14ac:dyDescent="0.2">
      <c r="B3" s="319"/>
      <c r="C3" s="320"/>
      <c r="E3" s="136"/>
      <c r="F3" s="134"/>
      <c r="G3" s="134"/>
      <c r="H3" s="134"/>
      <c r="I3" s="134"/>
      <c r="J3" s="321"/>
      <c r="K3" s="332"/>
      <c r="L3" s="134"/>
      <c r="M3" s="134"/>
      <c r="N3" s="135"/>
    </row>
    <row r="4" spans="1:14" x14ac:dyDescent="0.2">
      <c r="B4" s="319"/>
      <c r="C4" s="320"/>
      <c r="E4" s="136"/>
      <c r="F4" s="134"/>
      <c r="G4" s="134"/>
      <c r="H4" s="134"/>
      <c r="I4" s="134"/>
      <c r="J4" s="321"/>
      <c r="K4" s="332"/>
      <c r="L4" s="134"/>
      <c r="M4" s="134"/>
      <c r="N4" s="135"/>
    </row>
    <row r="5" spans="1:14" ht="28.5" customHeight="1" x14ac:dyDescent="0.2">
      <c r="B5" s="137"/>
      <c r="C5" s="39"/>
      <c r="E5" s="387" t="s">
        <v>401</v>
      </c>
      <c r="F5" s="387"/>
      <c r="G5" s="387"/>
      <c r="H5" s="387"/>
      <c r="I5" s="387"/>
      <c r="J5" s="387"/>
      <c r="K5" s="387"/>
      <c r="L5" s="389"/>
      <c r="M5" s="389"/>
      <c r="N5" s="390"/>
    </row>
    <row r="6" spans="1:14" ht="31.5" customHeight="1" thickBot="1" x14ac:dyDescent="0.25">
      <c r="B6" s="138"/>
      <c r="C6" s="39"/>
      <c r="D6" s="458" t="s">
        <v>491</v>
      </c>
      <c r="E6" s="458"/>
      <c r="F6" s="458"/>
      <c r="G6" s="458"/>
      <c r="H6" s="458"/>
      <c r="I6" s="458"/>
      <c r="J6" s="458"/>
      <c r="K6" s="458"/>
      <c r="L6" s="139"/>
      <c r="M6" s="139"/>
      <c r="N6" s="140"/>
    </row>
    <row r="7" spans="1:14" s="29" customFormat="1" ht="37.5" customHeight="1" x14ac:dyDescent="0.2">
      <c r="A7" s="5"/>
      <c r="B7" s="103" t="s">
        <v>292</v>
      </c>
      <c r="C7" s="207" t="s">
        <v>353</v>
      </c>
      <c r="D7" s="104" t="s">
        <v>14</v>
      </c>
      <c r="E7" s="104" t="s">
        <v>286</v>
      </c>
      <c r="F7" s="104" t="s">
        <v>287</v>
      </c>
      <c r="G7" s="104" t="s">
        <v>290</v>
      </c>
      <c r="H7" s="104" t="s">
        <v>291</v>
      </c>
      <c r="I7" s="105" t="s">
        <v>288</v>
      </c>
      <c r="J7" s="322" t="s">
        <v>304</v>
      </c>
      <c r="K7" s="104" t="s">
        <v>305</v>
      </c>
      <c r="L7" s="106" t="s">
        <v>289</v>
      </c>
      <c r="M7" s="106" t="s">
        <v>298</v>
      </c>
      <c r="N7" s="121" t="s">
        <v>297</v>
      </c>
    </row>
    <row r="8" spans="1:14" s="29" customFormat="1" ht="30" customHeight="1" x14ac:dyDescent="0.2">
      <c r="A8" s="5"/>
      <c r="B8" s="323">
        <v>1</v>
      </c>
      <c r="C8" s="324"/>
      <c r="D8" s="325" t="s">
        <v>420</v>
      </c>
      <c r="E8" s="95" t="s">
        <v>35</v>
      </c>
      <c r="F8" s="360"/>
      <c r="G8" s="72">
        <v>15</v>
      </c>
      <c r="H8" s="326">
        <v>638.06640000000004</v>
      </c>
      <c r="I8" s="327">
        <f>ROUND(G8*H8,2)</f>
        <v>9571</v>
      </c>
      <c r="J8" s="358">
        <f t="shared" ref="J8" si="0">IFERROR(IF(ROUND((((I8/G8*30.4)-VLOOKUP((I8/G8*30.4),TARIFA,1))*VLOOKUP((I8/G8*30.4),TARIFA,3)+VLOOKUP((I8/G8*30.4),TARIFA,2)-VLOOKUP((I8/G8*30.4),SUBSIDIO,2))/30.4*G8,2)&lt;0,ROUND(-(((I8/G8*30.4)-VLOOKUP((I8/G8*30.4),TARIFA,1))*VLOOKUP((I8/G8*30.4),TARIFA,3)+VLOOKUP((I8/G8*30.4),TARIFA,2)-VLOOKUP((I8/G8*30.4),SUBSIDIO,2))/30.4*G8,2),0),0)</f>
        <v>0</v>
      </c>
      <c r="K8" s="359">
        <f t="shared" ref="K8:K36" si="1">IF(H8&lt;=248.93,0,(IFERROR(IF(ROUND((((I8/G8*30.4)-VLOOKUP((I8/G8*30.4),TARIFA,1))*VLOOKUP((I8/G8*30.4),TARIFA,3)+VLOOKUP((I8/G8*30.4),TARIFA,2)-VLOOKUP((I8/G8*30.4),SUBSIDIO,2))/30.4*G8,2)&gt;0,ROUND((((I8/G8*30.4)-VLOOKUP((I8/G8*30.4),TARIFA,1))*VLOOKUP((I8/G8*30.4),TARIFA,3)+VLOOKUP((I8/G8*30.4),TARIFA,2)-VLOOKUP((I8/G8*30.4),SUBSIDIO,2))/30.4*G8,2),0),0)))</f>
        <v>1221.3399999999999</v>
      </c>
      <c r="L8" s="328">
        <f>K8</f>
        <v>1221.3399999999999</v>
      </c>
      <c r="M8" s="328">
        <f>I8+J8-L8</f>
        <v>8349.66</v>
      </c>
      <c r="N8" s="329"/>
    </row>
    <row r="9" spans="1:14" s="29" customFormat="1" ht="30" customHeight="1" x14ac:dyDescent="0.2">
      <c r="A9" s="5"/>
      <c r="B9" s="323">
        <v>2</v>
      </c>
      <c r="C9" s="324" t="s">
        <v>353</v>
      </c>
      <c r="D9" s="325" t="s">
        <v>402</v>
      </c>
      <c r="E9" s="95" t="s">
        <v>403</v>
      </c>
      <c r="F9" s="360"/>
      <c r="G9" s="72">
        <v>15</v>
      </c>
      <c r="H9" s="326">
        <v>471.46640000000002</v>
      </c>
      <c r="I9" s="327">
        <f t="shared" ref="I9:I36" si="2">ROUND(G9*H9,2)</f>
        <v>7072</v>
      </c>
      <c r="J9" s="358">
        <f t="shared" ref="J9:J13" si="3">IFERROR(IF(ROUND((((I9/G9*30.4)-VLOOKUP((I9/G9*30.4),TARIFA,1))*VLOOKUP((I9/G9*30.4),TARIFA,3)+VLOOKUP((I9/G9*30.4),TARIFA,2)-VLOOKUP((I9/G9*30.4),SUBSIDIO,2))/30.4*G9,2)&lt;0,ROUND(-(((I9/G9*30.4)-VLOOKUP((I9/G9*30.4),TARIFA,1))*VLOOKUP((I9/G9*30.4),TARIFA,3)+VLOOKUP((I9/G9*30.4),TARIFA,2)-VLOOKUP((I9/G9*30.4),SUBSIDIO,2))/30.4*G9,2),0),0)</f>
        <v>0</v>
      </c>
      <c r="K9" s="359">
        <f t="shared" si="1"/>
        <v>707.16</v>
      </c>
      <c r="L9" s="328">
        <f t="shared" ref="L9:L36" si="4">K9</f>
        <v>707.16</v>
      </c>
      <c r="M9" s="328">
        <f t="shared" ref="M9:M36" si="5">I9+J9-L9</f>
        <v>6364.84</v>
      </c>
      <c r="N9" s="329"/>
    </row>
    <row r="10" spans="1:14" s="29" customFormat="1" ht="30" customHeight="1" x14ac:dyDescent="0.2">
      <c r="A10" s="5"/>
      <c r="B10" s="323">
        <v>3</v>
      </c>
      <c r="C10" s="324"/>
      <c r="D10" s="325" t="s">
        <v>404</v>
      </c>
      <c r="E10" s="95" t="s">
        <v>405</v>
      </c>
      <c r="F10" s="360"/>
      <c r="G10" s="72">
        <v>15</v>
      </c>
      <c r="H10" s="326">
        <v>340</v>
      </c>
      <c r="I10" s="327">
        <f t="shared" si="2"/>
        <v>5100</v>
      </c>
      <c r="J10" s="358">
        <f t="shared" si="3"/>
        <v>0</v>
      </c>
      <c r="K10" s="359">
        <f t="shared" si="1"/>
        <v>398.42</v>
      </c>
      <c r="L10" s="328">
        <f t="shared" si="4"/>
        <v>398.42</v>
      </c>
      <c r="M10" s="328">
        <f t="shared" si="5"/>
        <v>4701.58</v>
      </c>
      <c r="N10" s="329"/>
    </row>
    <row r="11" spans="1:14" s="29" customFormat="1" ht="30" customHeight="1" x14ac:dyDescent="0.2">
      <c r="A11" s="5"/>
      <c r="B11" s="323">
        <v>4</v>
      </c>
      <c r="C11" s="324" t="s">
        <v>353</v>
      </c>
      <c r="D11" s="325" t="s">
        <v>406</v>
      </c>
      <c r="E11" s="95" t="s">
        <v>407</v>
      </c>
      <c r="F11" s="360"/>
      <c r="G11" s="72">
        <v>15</v>
      </c>
      <c r="H11" s="326">
        <v>393.733</v>
      </c>
      <c r="I11" s="327">
        <f t="shared" si="2"/>
        <v>5906</v>
      </c>
      <c r="J11" s="358">
        <f t="shared" si="3"/>
        <v>0</v>
      </c>
      <c r="K11" s="359">
        <f t="shared" si="1"/>
        <v>507.37</v>
      </c>
      <c r="L11" s="328">
        <f t="shared" si="4"/>
        <v>507.37</v>
      </c>
      <c r="M11" s="328">
        <f t="shared" si="5"/>
        <v>5398.63</v>
      </c>
      <c r="N11" s="329"/>
    </row>
    <row r="12" spans="1:14" s="29" customFormat="1" ht="30" customHeight="1" x14ac:dyDescent="0.2">
      <c r="A12" s="5"/>
      <c r="B12" s="323">
        <v>5</v>
      </c>
      <c r="C12" s="324"/>
      <c r="D12" s="325" t="s">
        <v>408</v>
      </c>
      <c r="E12" s="95" t="s">
        <v>407</v>
      </c>
      <c r="F12" s="360"/>
      <c r="G12" s="72">
        <v>15</v>
      </c>
      <c r="H12" s="326">
        <v>393.733</v>
      </c>
      <c r="I12" s="327">
        <f t="shared" si="2"/>
        <v>5906</v>
      </c>
      <c r="J12" s="358">
        <f t="shared" si="3"/>
        <v>0</v>
      </c>
      <c r="K12" s="359">
        <f t="shared" si="1"/>
        <v>507.37</v>
      </c>
      <c r="L12" s="328">
        <f t="shared" si="4"/>
        <v>507.37</v>
      </c>
      <c r="M12" s="328">
        <f t="shared" si="5"/>
        <v>5398.63</v>
      </c>
      <c r="N12" s="329"/>
    </row>
    <row r="13" spans="1:14" s="29" customFormat="1" ht="30" customHeight="1" x14ac:dyDescent="0.2">
      <c r="A13" s="5"/>
      <c r="B13" s="323">
        <v>6</v>
      </c>
      <c r="C13" s="324"/>
      <c r="D13" s="325" t="s">
        <v>409</v>
      </c>
      <c r="E13" s="95" t="s">
        <v>405</v>
      </c>
      <c r="F13" s="360"/>
      <c r="G13" s="72">
        <v>15</v>
      </c>
      <c r="H13" s="326">
        <v>340</v>
      </c>
      <c r="I13" s="327">
        <f t="shared" si="2"/>
        <v>5100</v>
      </c>
      <c r="J13" s="358">
        <f t="shared" si="3"/>
        <v>0</v>
      </c>
      <c r="K13" s="359">
        <f t="shared" si="1"/>
        <v>398.42</v>
      </c>
      <c r="L13" s="328">
        <f t="shared" si="4"/>
        <v>398.42</v>
      </c>
      <c r="M13" s="328">
        <f t="shared" si="5"/>
        <v>4701.58</v>
      </c>
      <c r="N13" s="329"/>
    </row>
    <row r="14" spans="1:14" s="84" customFormat="1" ht="30" customHeight="1" x14ac:dyDescent="0.2">
      <c r="A14" s="5"/>
      <c r="B14" s="323">
        <v>7</v>
      </c>
      <c r="C14" s="324" t="s">
        <v>353</v>
      </c>
      <c r="D14" s="325" t="s">
        <v>410</v>
      </c>
      <c r="E14" s="95" t="s">
        <v>405</v>
      </c>
      <c r="F14" s="360"/>
      <c r="G14" s="72">
        <v>15</v>
      </c>
      <c r="H14" s="326">
        <v>340</v>
      </c>
      <c r="I14" s="327">
        <f t="shared" si="2"/>
        <v>5100</v>
      </c>
      <c r="J14" s="358">
        <f t="shared" ref="J14:J22" si="6">IFERROR(IF(ROUND((((I14/G14*30.4)-VLOOKUP((I14/G14*30.4),TARIFA,1))*VLOOKUP((I14/G14*30.4),TARIFA,3)+VLOOKUP((I14/G14*30.4),TARIFA,2)-VLOOKUP((I14/G14*30.4),SUBSIDIO,2))/30.4*G14,2)&lt;0,ROUND(-(((I14/G14*30.4)-VLOOKUP((I14/G14*30.4),TARIFA,1))*VLOOKUP((I14/G14*30.4),TARIFA,3)+VLOOKUP((I14/G14*30.4),TARIFA,2)-VLOOKUP((I14/G14*30.4),SUBSIDIO,2))/30.4*G14,2),0),0)</f>
        <v>0</v>
      </c>
      <c r="K14" s="359">
        <f t="shared" si="1"/>
        <v>398.42</v>
      </c>
      <c r="L14" s="328">
        <f t="shared" si="4"/>
        <v>398.42</v>
      </c>
      <c r="M14" s="328">
        <f t="shared" si="5"/>
        <v>4701.58</v>
      </c>
      <c r="N14" s="329"/>
    </row>
    <row r="15" spans="1:14" ht="30" customHeight="1" x14ac:dyDescent="0.2">
      <c r="B15" s="323">
        <v>8</v>
      </c>
      <c r="C15" s="324" t="s">
        <v>353</v>
      </c>
      <c r="D15" s="325" t="s">
        <v>411</v>
      </c>
      <c r="E15" s="95" t="s">
        <v>405</v>
      </c>
      <c r="F15" s="360"/>
      <c r="G15" s="72">
        <v>15</v>
      </c>
      <c r="H15" s="326">
        <v>340</v>
      </c>
      <c r="I15" s="327">
        <f t="shared" si="2"/>
        <v>5100</v>
      </c>
      <c r="J15" s="358">
        <f t="shared" si="6"/>
        <v>0</v>
      </c>
      <c r="K15" s="359">
        <f t="shared" si="1"/>
        <v>398.42</v>
      </c>
      <c r="L15" s="328">
        <f t="shared" si="4"/>
        <v>398.42</v>
      </c>
      <c r="M15" s="328">
        <f t="shared" si="5"/>
        <v>4701.58</v>
      </c>
      <c r="N15" s="329"/>
    </row>
    <row r="16" spans="1:14" s="29" customFormat="1" ht="30" customHeight="1" x14ac:dyDescent="0.2">
      <c r="A16" s="5"/>
      <c r="B16" s="323">
        <v>9</v>
      </c>
      <c r="C16" s="324"/>
      <c r="D16" s="325" t="s">
        <v>412</v>
      </c>
      <c r="E16" s="95" t="s">
        <v>405</v>
      </c>
      <c r="F16" s="360"/>
      <c r="G16" s="72">
        <v>15</v>
      </c>
      <c r="H16" s="326">
        <v>340</v>
      </c>
      <c r="I16" s="327">
        <f t="shared" si="2"/>
        <v>5100</v>
      </c>
      <c r="J16" s="358">
        <f t="shared" si="6"/>
        <v>0</v>
      </c>
      <c r="K16" s="359">
        <f t="shared" si="1"/>
        <v>398.42</v>
      </c>
      <c r="L16" s="328">
        <f t="shared" si="4"/>
        <v>398.42</v>
      </c>
      <c r="M16" s="328">
        <f t="shared" si="5"/>
        <v>4701.58</v>
      </c>
      <c r="N16" s="329"/>
    </row>
    <row r="17" spans="1:14" s="29" customFormat="1" ht="30" customHeight="1" x14ac:dyDescent="0.2">
      <c r="A17" s="5"/>
      <c r="B17" s="323">
        <v>10</v>
      </c>
      <c r="C17" s="324" t="s">
        <v>353</v>
      </c>
      <c r="D17" s="325" t="s">
        <v>413</v>
      </c>
      <c r="E17" s="95" t="s">
        <v>414</v>
      </c>
      <c r="F17" s="361"/>
      <c r="G17" s="64">
        <v>15</v>
      </c>
      <c r="H17" s="330">
        <v>220.8664</v>
      </c>
      <c r="I17" s="327">
        <f t="shared" si="2"/>
        <v>3313</v>
      </c>
      <c r="J17" s="358">
        <f t="shared" si="6"/>
        <v>0</v>
      </c>
      <c r="K17" s="359">
        <f t="shared" si="1"/>
        <v>0</v>
      </c>
      <c r="L17" s="328">
        <f t="shared" si="4"/>
        <v>0</v>
      </c>
      <c r="M17" s="328">
        <f t="shared" si="5"/>
        <v>3313</v>
      </c>
      <c r="N17" s="329"/>
    </row>
    <row r="18" spans="1:14" s="29" customFormat="1" ht="30" customHeight="1" x14ac:dyDescent="0.2">
      <c r="A18" s="5"/>
      <c r="B18" s="323">
        <v>11</v>
      </c>
      <c r="C18" s="324"/>
      <c r="D18" s="325" t="s">
        <v>415</v>
      </c>
      <c r="E18" s="95" t="s">
        <v>416</v>
      </c>
      <c r="F18" s="72"/>
      <c r="G18" s="72">
        <v>15</v>
      </c>
      <c r="H18" s="326">
        <v>340</v>
      </c>
      <c r="I18" s="327">
        <f t="shared" si="2"/>
        <v>5100</v>
      </c>
      <c r="J18" s="358">
        <f t="shared" si="6"/>
        <v>0</v>
      </c>
      <c r="K18" s="359">
        <f t="shared" si="1"/>
        <v>398.42</v>
      </c>
      <c r="L18" s="328">
        <f t="shared" si="4"/>
        <v>398.42</v>
      </c>
      <c r="M18" s="328">
        <f t="shared" si="5"/>
        <v>4701.58</v>
      </c>
      <c r="N18" s="329"/>
    </row>
    <row r="19" spans="1:14" s="29" customFormat="1" ht="30" customHeight="1" x14ac:dyDescent="0.2">
      <c r="A19" s="5"/>
      <c r="B19" s="323">
        <v>12</v>
      </c>
      <c r="C19" s="324" t="s">
        <v>353</v>
      </c>
      <c r="D19" s="325" t="s">
        <v>417</v>
      </c>
      <c r="E19" s="95" t="s">
        <v>405</v>
      </c>
      <c r="F19" s="72"/>
      <c r="G19" s="72">
        <v>15</v>
      </c>
      <c r="H19" s="326">
        <v>340</v>
      </c>
      <c r="I19" s="327">
        <f t="shared" si="2"/>
        <v>5100</v>
      </c>
      <c r="J19" s="358">
        <f t="shared" si="6"/>
        <v>0</v>
      </c>
      <c r="K19" s="359">
        <f t="shared" si="1"/>
        <v>398.42</v>
      </c>
      <c r="L19" s="328">
        <f t="shared" si="4"/>
        <v>398.42</v>
      </c>
      <c r="M19" s="328">
        <f t="shared" si="5"/>
        <v>4701.58</v>
      </c>
      <c r="N19" s="329"/>
    </row>
    <row r="20" spans="1:14" ht="30" customHeight="1" x14ac:dyDescent="0.2">
      <c r="B20" s="323">
        <v>14</v>
      </c>
      <c r="C20" s="324"/>
      <c r="D20" s="331" t="s">
        <v>418</v>
      </c>
      <c r="E20" s="95" t="s">
        <v>405</v>
      </c>
      <c r="F20" s="360"/>
      <c r="G20" s="72">
        <v>15</v>
      </c>
      <c r="H20" s="326">
        <v>340</v>
      </c>
      <c r="I20" s="327">
        <f t="shared" si="2"/>
        <v>5100</v>
      </c>
      <c r="J20" s="358">
        <f t="shared" si="6"/>
        <v>0</v>
      </c>
      <c r="K20" s="359">
        <f t="shared" si="1"/>
        <v>398.42</v>
      </c>
      <c r="L20" s="328">
        <f t="shared" si="4"/>
        <v>398.42</v>
      </c>
      <c r="M20" s="328">
        <f t="shared" si="5"/>
        <v>4701.58</v>
      </c>
      <c r="N20" s="329"/>
    </row>
    <row r="21" spans="1:14" ht="30" customHeight="1" x14ac:dyDescent="0.2">
      <c r="B21" s="323">
        <v>15</v>
      </c>
      <c r="C21" s="324" t="s">
        <v>353</v>
      </c>
      <c r="D21" s="331" t="s">
        <v>464</v>
      </c>
      <c r="E21" s="95" t="s">
        <v>405</v>
      </c>
      <c r="F21" s="360"/>
      <c r="G21" s="72">
        <v>15</v>
      </c>
      <c r="H21" s="326">
        <v>340</v>
      </c>
      <c r="I21" s="327">
        <f t="shared" si="2"/>
        <v>5100</v>
      </c>
      <c r="J21" s="358">
        <f t="shared" si="6"/>
        <v>0</v>
      </c>
      <c r="K21" s="359">
        <f t="shared" si="1"/>
        <v>398.42</v>
      </c>
      <c r="L21" s="328">
        <f t="shared" si="4"/>
        <v>398.42</v>
      </c>
      <c r="M21" s="328">
        <f t="shared" si="5"/>
        <v>4701.58</v>
      </c>
      <c r="N21" s="329"/>
    </row>
    <row r="22" spans="1:14" ht="30" customHeight="1" x14ac:dyDescent="0.2">
      <c r="B22" s="323">
        <v>16</v>
      </c>
      <c r="C22" s="324" t="s">
        <v>353</v>
      </c>
      <c r="D22" s="331" t="s">
        <v>419</v>
      </c>
      <c r="E22" s="95" t="s">
        <v>405</v>
      </c>
      <c r="F22" s="360"/>
      <c r="G22" s="72">
        <v>15</v>
      </c>
      <c r="H22" s="326">
        <v>340</v>
      </c>
      <c r="I22" s="327">
        <f t="shared" si="2"/>
        <v>5100</v>
      </c>
      <c r="J22" s="358">
        <f t="shared" si="6"/>
        <v>0</v>
      </c>
      <c r="K22" s="359">
        <f t="shared" si="1"/>
        <v>398.42</v>
      </c>
      <c r="L22" s="328">
        <f t="shared" si="4"/>
        <v>398.42</v>
      </c>
      <c r="M22" s="328">
        <f t="shared" si="5"/>
        <v>4701.58</v>
      </c>
      <c r="N22" s="329"/>
    </row>
    <row r="23" spans="1:14" ht="30" customHeight="1" x14ac:dyDescent="0.2">
      <c r="B23" s="323">
        <v>17</v>
      </c>
      <c r="C23" s="324" t="s">
        <v>353</v>
      </c>
      <c r="D23" s="331" t="s">
        <v>484</v>
      </c>
      <c r="E23" s="95" t="s">
        <v>405</v>
      </c>
      <c r="F23" s="360"/>
      <c r="G23" s="72">
        <v>7</v>
      </c>
      <c r="H23" s="326">
        <v>340</v>
      </c>
      <c r="I23" s="327">
        <f t="shared" si="2"/>
        <v>2380</v>
      </c>
      <c r="J23" s="358">
        <f t="shared" ref="J23:J36" si="7">IFERROR(IF(ROUND((((I23/G23*30.4)-VLOOKUP((I23/G23*30.4),TARIFA,1))*VLOOKUP((I23/G23*30.4),TARIFA,3)+VLOOKUP((I23/G23*30.4),TARIFA,2)-VLOOKUP((I23/G23*30.4),SUBSIDIO,2))/30.4*G23,2)&lt;0,ROUND(-(((I23/G23*30.4)-VLOOKUP((I23/G23*30.4),TARIFA,1))*VLOOKUP((I23/G23*30.4),TARIFA,3)+VLOOKUP((I23/G23*30.4),TARIFA,2)-VLOOKUP((I23/G23*30.4),SUBSIDIO,2))/30.4*G23,2),0),0)</f>
        <v>0</v>
      </c>
      <c r="K23" s="359">
        <f t="shared" si="1"/>
        <v>185.93</v>
      </c>
      <c r="L23" s="328">
        <f t="shared" si="4"/>
        <v>185.93</v>
      </c>
      <c r="M23" s="328">
        <f t="shared" si="5"/>
        <v>2194.0700000000002</v>
      </c>
      <c r="N23" s="329"/>
    </row>
    <row r="24" spans="1:14" ht="30" customHeight="1" x14ac:dyDescent="0.2">
      <c r="B24" s="323">
        <v>18</v>
      </c>
      <c r="C24" s="324"/>
      <c r="D24" s="331" t="s">
        <v>421</v>
      </c>
      <c r="E24" s="95" t="s">
        <v>405</v>
      </c>
      <c r="F24" s="360"/>
      <c r="G24" s="72">
        <v>15</v>
      </c>
      <c r="H24" s="326">
        <v>340</v>
      </c>
      <c r="I24" s="327">
        <f t="shared" si="2"/>
        <v>5100</v>
      </c>
      <c r="J24" s="358">
        <f t="shared" si="7"/>
        <v>0</v>
      </c>
      <c r="K24" s="359">
        <f t="shared" si="1"/>
        <v>398.42</v>
      </c>
      <c r="L24" s="328">
        <f t="shared" si="4"/>
        <v>398.42</v>
      </c>
      <c r="M24" s="328">
        <f t="shared" si="5"/>
        <v>4701.58</v>
      </c>
      <c r="N24" s="329"/>
    </row>
    <row r="25" spans="1:14" s="29" customFormat="1" ht="30" customHeight="1" x14ac:dyDescent="0.2">
      <c r="A25" s="5"/>
      <c r="B25" s="323">
        <v>19</v>
      </c>
      <c r="C25" s="324" t="s">
        <v>353</v>
      </c>
      <c r="D25" s="325" t="s">
        <v>422</v>
      </c>
      <c r="E25" s="95" t="s">
        <v>405</v>
      </c>
      <c r="F25" s="360"/>
      <c r="G25" s="72">
        <v>15</v>
      </c>
      <c r="H25" s="326">
        <v>340</v>
      </c>
      <c r="I25" s="327">
        <f t="shared" si="2"/>
        <v>5100</v>
      </c>
      <c r="J25" s="358">
        <f t="shared" si="7"/>
        <v>0</v>
      </c>
      <c r="K25" s="359">
        <f t="shared" si="1"/>
        <v>398.42</v>
      </c>
      <c r="L25" s="328">
        <f t="shared" si="4"/>
        <v>398.42</v>
      </c>
      <c r="M25" s="328">
        <f t="shared" si="5"/>
        <v>4701.58</v>
      </c>
      <c r="N25" s="329"/>
    </row>
    <row r="26" spans="1:14" s="29" customFormat="1" ht="30" customHeight="1" x14ac:dyDescent="0.2">
      <c r="A26" s="5"/>
      <c r="B26" s="323">
        <v>20</v>
      </c>
      <c r="C26" s="324" t="s">
        <v>353</v>
      </c>
      <c r="D26" s="325" t="s">
        <v>423</v>
      </c>
      <c r="E26" s="95" t="s">
        <v>405</v>
      </c>
      <c r="F26" s="360"/>
      <c r="G26" s="72">
        <v>15</v>
      </c>
      <c r="H26" s="326">
        <v>340</v>
      </c>
      <c r="I26" s="327">
        <f t="shared" si="2"/>
        <v>5100</v>
      </c>
      <c r="J26" s="358">
        <f t="shared" si="7"/>
        <v>0</v>
      </c>
      <c r="K26" s="359">
        <f t="shared" si="1"/>
        <v>398.42</v>
      </c>
      <c r="L26" s="328">
        <f t="shared" si="4"/>
        <v>398.42</v>
      </c>
      <c r="M26" s="328">
        <f t="shared" si="5"/>
        <v>4701.58</v>
      </c>
      <c r="N26" s="329"/>
    </row>
    <row r="27" spans="1:14" s="29" customFormat="1" ht="30" customHeight="1" x14ac:dyDescent="0.2">
      <c r="A27" s="5"/>
      <c r="B27" s="323">
        <v>21</v>
      </c>
      <c r="C27" s="324" t="s">
        <v>353</v>
      </c>
      <c r="D27" s="325" t="s">
        <v>424</v>
      </c>
      <c r="E27" s="95" t="s">
        <v>405</v>
      </c>
      <c r="F27" s="360"/>
      <c r="G27" s="72">
        <v>15</v>
      </c>
      <c r="H27" s="326">
        <v>340</v>
      </c>
      <c r="I27" s="327">
        <f t="shared" si="2"/>
        <v>5100</v>
      </c>
      <c r="J27" s="358">
        <f t="shared" si="7"/>
        <v>0</v>
      </c>
      <c r="K27" s="359">
        <f t="shared" si="1"/>
        <v>398.42</v>
      </c>
      <c r="L27" s="328">
        <f t="shared" si="4"/>
        <v>398.42</v>
      </c>
      <c r="M27" s="328">
        <f t="shared" si="5"/>
        <v>4701.58</v>
      </c>
      <c r="N27" s="329"/>
    </row>
    <row r="28" spans="1:14" s="29" customFormat="1" ht="30" customHeight="1" x14ac:dyDescent="0.2">
      <c r="A28" s="5"/>
      <c r="B28" s="323">
        <v>22</v>
      </c>
      <c r="C28" s="324" t="s">
        <v>353</v>
      </c>
      <c r="D28" s="325" t="s">
        <v>425</v>
      </c>
      <c r="E28" s="95" t="s">
        <v>405</v>
      </c>
      <c r="F28" s="360"/>
      <c r="G28" s="72">
        <v>15</v>
      </c>
      <c r="H28" s="326">
        <v>340</v>
      </c>
      <c r="I28" s="327">
        <f t="shared" si="2"/>
        <v>5100</v>
      </c>
      <c r="J28" s="358">
        <f t="shared" si="7"/>
        <v>0</v>
      </c>
      <c r="K28" s="359">
        <f t="shared" si="1"/>
        <v>398.42</v>
      </c>
      <c r="L28" s="328">
        <f t="shared" si="4"/>
        <v>398.42</v>
      </c>
      <c r="M28" s="328">
        <f t="shared" si="5"/>
        <v>4701.58</v>
      </c>
      <c r="N28" s="329"/>
    </row>
    <row r="29" spans="1:14" s="29" customFormat="1" ht="30" customHeight="1" x14ac:dyDescent="0.2">
      <c r="A29" s="5"/>
      <c r="B29" s="323">
        <v>23</v>
      </c>
      <c r="C29" s="324"/>
      <c r="D29" s="325" t="s">
        <v>426</v>
      </c>
      <c r="E29" s="95" t="s">
        <v>405</v>
      </c>
      <c r="F29" s="360"/>
      <c r="G29" s="72">
        <v>15</v>
      </c>
      <c r="H29" s="326">
        <v>340</v>
      </c>
      <c r="I29" s="327">
        <f t="shared" si="2"/>
        <v>5100</v>
      </c>
      <c r="J29" s="358">
        <f t="shared" si="7"/>
        <v>0</v>
      </c>
      <c r="K29" s="359">
        <f t="shared" si="1"/>
        <v>398.42</v>
      </c>
      <c r="L29" s="328">
        <f t="shared" si="4"/>
        <v>398.42</v>
      </c>
      <c r="M29" s="328">
        <f t="shared" si="5"/>
        <v>4701.58</v>
      </c>
      <c r="N29" s="329"/>
    </row>
    <row r="30" spans="1:14" s="29" customFormat="1" ht="30" customHeight="1" x14ac:dyDescent="0.2">
      <c r="A30" s="5"/>
      <c r="B30" s="323">
        <v>24</v>
      </c>
      <c r="C30" s="324" t="s">
        <v>353</v>
      </c>
      <c r="D30" s="325" t="s">
        <v>427</v>
      </c>
      <c r="E30" s="95" t="s">
        <v>405</v>
      </c>
      <c r="F30" s="360"/>
      <c r="G30" s="72">
        <v>15</v>
      </c>
      <c r="H30" s="326">
        <v>340</v>
      </c>
      <c r="I30" s="327">
        <f t="shared" si="2"/>
        <v>5100</v>
      </c>
      <c r="J30" s="358">
        <f t="shared" si="7"/>
        <v>0</v>
      </c>
      <c r="K30" s="359">
        <f t="shared" si="1"/>
        <v>398.42</v>
      </c>
      <c r="L30" s="328">
        <f t="shared" si="4"/>
        <v>398.42</v>
      </c>
      <c r="M30" s="328">
        <f t="shared" si="5"/>
        <v>4701.58</v>
      </c>
      <c r="N30" s="329"/>
    </row>
    <row r="31" spans="1:14" s="29" customFormat="1" ht="30" customHeight="1" x14ac:dyDescent="0.2">
      <c r="A31" s="5"/>
      <c r="B31" s="323">
        <v>25</v>
      </c>
      <c r="C31" s="324" t="s">
        <v>353</v>
      </c>
      <c r="D31" s="325" t="s">
        <v>428</v>
      </c>
      <c r="E31" s="95" t="s">
        <v>405</v>
      </c>
      <c r="F31" s="360"/>
      <c r="G31" s="72">
        <v>15</v>
      </c>
      <c r="H31" s="326">
        <v>340</v>
      </c>
      <c r="I31" s="327">
        <f t="shared" si="2"/>
        <v>5100</v>
      </c>
      <c r="J31" s="358">
        <f t="shared" si="7"/>
        <v>0</v>
      </c>
      <c r="K31" s="359">
        <f t="shared" si="1"/>
        <v>398.42</v>
      </c>
      <c r="L31" s="328">
        <f t="shared" si="4"/>
        <v>398.42</v>
      </c>
      <c r="M31" s="328">
        <f t="shared" si="5"/>
        <v>4701.58</v>
      </c>
      <c r="N31" s="329"/>
    </row>
    <row r="32" spans="1:14" s="29" customFormat="1" ht="30" customHeight="1" x14ac:dyDescent="0.2">
      <c r="A32" s="5"/>
      <c r="B32" s="323">
        <v>26</v>
      </c>
      <c r="C32" s="324" t="s">
        <v>353</v>
      </c>
      <c r="D32" s="325" t="s">
        <v>470</v>
      </c>
      <c r="E32" s="95" t="s">
        <v>405</v>
      </c>
      <c r="F32" s="360"/>
      <c r="G32" s="72">
        <v>15</v>
      </c>
      <c r="H32" s="326">
        <v>340</v>
      </c>
      <c r="I32" s="327">
        <f t="shared" ref="I32" si="8">ROUND(G32*H32,2)</f>
        <v>5100</v>
      </c>
      <c r="J32" s="358">
        <f t="shared" ref="J32" si="9">IFERROR(IF(ROUND((((I32/G32*30.4)-VLOOKUP((I32/G32*30.4),TARIFA,1))*VLOOKUP((I32/G32*30.4),TARIFA,3)+VLOOKUP((I32/G32*30.4),TARIFA,2)-VLOOKUP((I32/G32*30.4),SUBSIDIO,2))/30.4*G32,2)&lt;0,ROUND(-(((I32/G32*30.4)-VLOOKUP((I32/G32*30.4),TARIFA,1))*VLOOKUP((I32/G32*30.4),TARIFA,3)+VLOOKUP((I32/G32*30.4),TARIFA,2)-VLOOKUP((I32/G32*30.4),SUBSIDIO,2))/30.4*G32,2),0),0)</f>
        <v>0</v>
      </c>
      <c r="K32" s="359">
        <f t="shared" ref="K32" si="10">IF(H32&lt;=248.93,0,(IFERROR(IF(ROUND((((I32/G32*30.4)-VLOOKUP((I32/G32*30.4),TARIFA,1))*VLOOKUP((I32/G32*30.4),TARIFA,3)+VLOOKUP((I32/G32*30.4),TARIFA,2)-VLOOKUP((I32/G32*30.4),SUBSIDIO,2))/30.4*G32,2)&gt;0,ROUND((((I32/G32*30.4)-VLOOKUP((I32/G32*30.4),TARIFA,1))*VLOOKUP((I32/G32*30.4),TARIFA,3)+VLOOKUP((I32/G32*30.4),TARIFA,2)-VLOOKUP((I32/G32*30.4),SUBSIDIO,2))/30.4*G32,2),0),0)))</f>
        <v>398.42</v>
      </c>
      <c r="L32" s="328">
        <f t="shared" ref="L32" si="11">K32</f>
        <v>398.42</v>
      </c>
      <c r="M32" s="328">
        <f t="shared" ref="M32" si="12">I32+J32-L32</f>
        <v>4701.58</v>
      </c>
      <c r="N32" s="329"/>
    </row>
    <row r="33" spans="1:16" s="29" customFormat="1" ht="30" customHeight="1" x14ac:dyDescent="0.2">
      <c r="A33" s="5"/>
      <c r="B33" s="323">
        <v>27</v>
      </c>
      <c r="C33" s="324" t="s">
        <v>353</v>
      </c>
      <c r="D33" s="325" t="s">
        <v>474</v>
      </c>
      <c r="E33" s="95" t="s">
        <v>405</v>
      </c>
      <c r="F33" s="360"/>
      <c r="G33" s="72">
        <v>15</v>
      </c>
      <c r="H33" s="326">
        <v>340</v>
      </c>
      <c r="I33" s="327">
        <f t="shared" ref="I33" si="13">ROUND(G33*H33,2)</f>
        <v>5100</v>
      </c>
      <c r="J33" s="358">
        <f t="shared" ref="J33" si="14">IFERROR(IF(ROUND((((I33/G33*30.4)-VLOOKUP((I33/G33*30.4),TARIFA,1))*VLOOKUP((I33/G33*30.4),TARIFA,3)+VLOOKUP((I33/G33*30.4),TARIFA,2)-VLOOKUP((I33/G33*30.4),SUBSIDIO,2))/30.4*G33,2)&lt;0,ROUND(-(((I33/G33*30.4)-VLOOKUP((I33/G33*30.4),TARIFA,1))*VLOOKUP((I33/G33*30.4),TARIFA,3)+VLOOKUP((I33/G33*30.4),TARIFA,2)-VLOOKUP((I33/G33*30.4),SUBSIDIO,2))/30.4*G33,2),0),0)</f>
        <v>0</v>
      </c>
      <c r="K33" s="359">
        <f t="shared" ref="K33" si="15">IF(H33&lt;=248.93,0,(IFERROR(IF(ROUND((((I33/G33*30.4)-VLOOKUP((I33/G33*30.4),TARIFA,1))*VLOOKUP((I33/G33*30.4),TARIFA,3)+VLOOKUP((I33/G33*30.4),TARIFA,2)-VLOOKUP((I33/G33*30.4),SUBSIDIO,2))/30.4*G33,2)&gt;0,ROUND((((I33/G33*30.4)-VLOOKUP((I33/G33*30.4),TARIFA,1))*VLOOKUP((I33/G33*30.4),TARIFA,3)+VLOOKUP((I33/G33*30.4),TARIFA,2)-VLOOKUP((I33/G33*30.4),SUBSIDIO,2))/30.4*G33,2),0),0)))</f>
        <v>398.42</v>
      </c>
      <c r="L33" s="328">
        <f t="shared" ref="L33" si="16">K33</f>
        <v>398.42</v>
      </c>
      <c r="M33" s="328">
        <f t="shared" ref="M33" si="17">I33+J33-L33</f>
        <v>4701.58</v>
      </c>
      <c r="N33" s="329"/>
    </row>
    <row r="34" spans="1:16" s="29" customFormat="1" ht="30" customHeight="1" x14ac:dyDescent="0.2">
      <c r="A34" s="5"/>
      <c r="B34" s="323">
        <v>28</v>
      </c>
      <c r="C34" s="324"/>
      <c r="D34" s="325" t="s">
        <v>475</v>
      </c>
      <c r="E34" s="95" t="s">
        <v>405</v>
      </c>
      <c r="F34" s="360"/>
      <c r="G34" s="72">
        <v>15</v>
      </c>
      <c r="H34" s="326">
        <v>340</v>
      </c>
      <c r="I34" s="327">
        <f t="shared" ref="I34" si="18">ROUND(G34*H34,2)</f>
        <v>5100</v>
      </c>
      <c r="J34" s="358">
        <f t="shared" ref="J34" si="19">IFERROR(IF(ROUND((((I34/G34*30.4)-VLOOKUP((I34/G34*30.4),TARIFA,1))*VLOOKUP((I34/G34*30.4),TARIFA,3)+VLOOKUP((I34/G34*30.4),TARIFA,2)-VLOOKUP((I34/G34*30.4),SUBSIDIO,2))/30.4*G34,2)&lt;0,ROUND(-(((I34/G34*30.4)-VLOOKUP((I34/G34*30.4),TARIFA,1))*VLOOKUP((I34/G34*30.4),TARIFA,3)+VLOOKUP((I34/G34*30.4),TARIFA,2)-VLOOKUP((I34/G34*30.4),SUBSIDIO,2))/30.4*G34,2),0),0)</f>
        <v>0</v>
      </c>
      <c r="K34" s="359">
        <f t="shared" ref="K34" si="20">IF(H34&lt;=248.93,0,(IFERROR(IF(ROUND((((I34/G34*30.4)-VLOOKUP((I34/G34*30.4),TARIFA,1))*VLOOKUP((I34/G34*30.4),TARIFA,3)+VLOOKUP((I34/G34*30.4),TARIFA,2)-VLOOKUP((I34/G34*30.4),SUBSIDIO,2))/30.4*G34,2)&gt;0,ROUND((((I34/G34*30.4)-VLOOKUP((I34/G34*30.4),TARIFA,1))*VLOOKUP((I34/G34*30.4),TARIFA,3)+VLOOKUP((I34/G34*30.4),TARIFA,2)-VLOOKUP((I34/G34*30.4),SUBSIDIO,2))/30.4*G34,2),0),0)))</f>
        <v>398.42</v>
      </c>
      <c r="L34" s="328">
        <f t="shared" ref="L34" si="21">K34</f>
        <v>398.42</v>
      </c>
      <c r="M34" s="328">
        <f t="shared" ref="M34" si="22">I34+J34-L34</f>
        <v>4701.58</v>
      </c>
      <c r="N34" s="329"/>
    </row>
    <row r="35" spans="1:16" s="29" customFormat="1" ht="30" customHeight="1" x14ac:dyDescent="0.2">
      <c r="A35" s="5"/>
      <c r="B35" s="323">
        <v>29</v>
      </c>
      <c r="C35" s="324"/>
      <c r="D35" s="325" t="s">
        <v>482</v>
      </c>
      <c r="E35" s="95" t="s">
        <v>405</v>
      </c>
      <c r="F35" s="360"/>
      <c r="G35" s="72">
        <v>15</v>
      </c>
      <c r="H35" s="326">
        <v>340</v>
      </c>
      <c r="I35" s="327">
        <f t="shared" ref="I35" si="23">ROUND(G35*H35,2)</f>
        <v>5100</v>
      </c>
      <c r="J35" s="358">
        <f t="shared" ref="J35" si="24">IFERROR(IF(ROUND((((I35/G35*30.4)-VLOOKUP((I35/G35*30.4),TARIFA,1))*VLOOKUP((I35/G35*30.4),TARIFA,3)+VLOOKUP((I35/G35*30.4),TARIFA,2)-VLOOKUP((I35/G35*30.4),SUBSIDIO,2))/30.4*G35,2)&lt;0,ROUND(-(((I35/G35*30.4)-VLOOKUP((I35/G35*30.4),TARIFA,1))*VLOOKUP((I35/G35*30.4),TARIFA,3)+VLOOKUP((I35/G35*30.4),TARIFA,2)-VLOOKUP((I35/G35*30.4),SUBSIDIO,2))/30.4*G35,2),0),0)</f>
        <v>0</v>
      </c>
      <c r="K35" s="359">
        <f t="shared" ref="K35" si="25">IF(H35&lt;=248.93,0,(IFERROR(IF(ROUND((((I35/G35*30.4)-VLOOKUP((I35/G35*30.4),TARIFA,1))*VLOOKUP((I35/G35*30.4),TARIFA,3)+VLOOKUP((I35/G35*30.4),TARIFA,2)-VLOOKUP((I35/G35*30.4),SUBSIDIO,2))/30.4*G35,2)&gt;0,ROUND((((I35/G35*30.4)-VLOOKUP((I35/G35*30.4),TARIFA,1))*VLOOKUP((I35/G35*30.4),TARIFA,3)+VLOOKUP((I35/G35*30.4),TARIFA,2)-VLOOKUP((I35/G35*30.4),SUBSIDIO,2))/30.4*G35,2),0),0)))</f>
        <v>398.42</v>
      </c>
      <c r="L35" s="328">
        <f t="shared" ref="L35" si="26">K35</f>
        <v>398.42</v>
      </c>
      <c r="M35" s="328">
        <f t="shared" ref="M35" si="27">I35+J35-L35</f>
        <v>4701.58</v>
      </c>
      <c r="N35" s="329"/>
    </row>
    <row r="36" spans="1:16" s="29" customFormat="1" ht="30" customHeight="1" x14ac:dyDescent="0.2">
      <c r="A36" s="5" t="s">
        <v>28</v>
      </c>
      <c r="B36" s="323">
        <v>30</v>
      </c>
      <c r="C36" s="324"/>
      <c r="D36" s="325" t="s">
        <v>429</v>
      </c>
      <c r="E36" s="95" t="s">
        <v>54</v>
      </c>
      <c r="F36" s="360"/>
      <c r="G36" s="64">
        <v>15</v>
      </c>
      <c r="H36" s="330">
        <v>104.733</v>
      </c>
      <c r="I36" s="327">
        <f t="shared" si="2"/>
        <v>1571</v>
      </c>
      <c r="J36" s="358">
        <f t="shared" si="7"/>
        <v>116.58</v>
      </c>
      <c r="K36" s="358">
        <f t="shared" si="1"/>
        <v>0</v>
      </c>
      <c r="L36" s="328">
        <f t="shared" si="4"/>
        <v>0</v>
      </c>
      <c r="M36" s="328">
        <f t="shared" si="5"/>
        <v>1687.58</v>
      </c>
      <c r="N36" s="329"/>
    </row>
    <row r="37" spans="1:16" ht="24" customHeight="1" x14ac:dyDescent="0.2">
      <c r="B37" s="137"/>
      <c r="C37" s="39"/>
      <c r="E37" s="136"/>
      <c r="F37" s="332"/>
      <c r="G37" s="332"/>
      <c r="H37" s="332"/>
      <c r="I37" s="333"/>
      <c r="J37" s="334"/>
      <c r="K37" s="333"/>
      <c r="L37" s="333"/>
      <c r="M37" s="333"/>
      <c r="N37" s="335"/>
    </row>
    <row r="38" spans="1:16" ht="24" customHeight="1" thickBot="1" x14ac:dyDescent="0.25">
      <c r="B38" s="459" t="s">
        <v>17</v>
      </c>
      <c r="C38" s="430"/>
      <c r="D38" s="430"/>
      <c r="E38" s="430"/>
      <c r="F38" s="430"/>
      <c r="G38" s="430"/>
      <c r="H38" s="431"/>
      <c r="I38" s="336">
        <f>SUM(I8:I37)</f>
        <v>147919</v>
      </c>
      <c r="J38" s="337">
        <f>SUM(J8:J37)</f>
        <v>116.58</v>
      </c>
      <c r="K38" s="336">
        <f>SUM(K8:K37)</f>
        <v>11894.410000000002</v>
      </c>
      <c r="L38" s="336">
        <f>SUM(L8:L37)</f>
        <v>11894.410000000002</v>
      </c>
      <c r="M38" s="336">
        <f>SUM(M8:M36)</f>
        <v>136141.17000000001</v>
      </c>
      <c r="N38" s="338"/>
    </row>
    <row r="39" spans="1:16" ht="24" customHeight="1" thickTop="1" x14ac:dyDescent="0.2">
      <c r="B39" s="137"/>
      <c r="C39" s="39"/>
      <c r="E39" s="136"/>
      <c r="F39" s="332"/>
      <c r="G39" s="332"/>
      <c r="H39" s="332"/>
      <c r="I39" s="332"/>
      <c r="J39" s="339"/>
      <c r="K39" s="332"/>
      <c r="L39" s="340"/>
      <c r="M39" s="332"/>
      <c r="N39" s="341"/>
    </row>
    <row r="40" spans="1:16" x14ac:dyDescent="0.2">
      <c r="B40" s="91"/>
      <c r="M40" s="342"/>
      <c r="N40" s="126"/>
    </row>
    <row r="41" spans="1:16" x14ac:dyDescent="0.2">
      <c r="B41" s="91"/>
      <c r="N41" s="126"/>
    </row>
    <row r="42" spans="1:16" x14ac:dyDescent="0.2">
      <c r="B42" s="91"/>
      <c r="N42" s="126"/>
    </row>
    <row r="43" spans="1:16" ht="18.75" customHeight="1" x14ac:dyDescent="0.2">
      <c r="B43" s="91"/>
      <c r="C43" s="386" t="s">
        <v>487</v>
      </c>
      <c r="D43" s="386"/>
      <c r="E43" s="5"/>
      <c r="F43" s="5"/>
      <c r="G43" s="5"/>
      <c r="H43" s="5"/>
      <c r="I43" s="32"/>
      <c r="J43" s="32"/>
      <c r="K43" s="48"/>
      <c r="L43" s="386" t="s">
        <v>294</v>
      </c>
      <c r="M43" s="386"/>
      <c r="N43" s="460"/>
    </row>
    <row r="44" spans="1:16" ht="19.5" customHeight="1" thickBot="1" x14ac:dyDescent="0.25">
      <c r="B44" s="92"/>
      <c r="C44" s="93"/>
      <c r="D44" s="368" t="s">
        <v>127</v>
      </c>
      <c r="E44" s="368"/>
      <c r="F44" s="93"/>
      <c r="G44" s="93"/>
      <c r="H44" s="93"/>
      <c r="I44" s="94"/>
      <c r="J44" s="94"/>
      <c r="K44" s="59"/>
      <c r="L44" s="407" t="s">
        <v>295</v>
      </c>
      <c r="M44" s="407"/>
      <c r="N44" s="408"/>
    </row>
    <row r="46" spans="1:16" x14ac:dyDescent="0.2">
      <c r="P46" s="314">
        <v>233266.39000000004</v>
      </c>
    </row>
    <row r="47" spans="1:16" x14ac:dyDescent="0.2">
      <c r="L47" s="25" t="s">
        <v>90</v>
      </c>
      <c r="M47" s="342">
        <f>M9+M11+M14+M15+M17+M19+M21+M22+M23+M25+M26+M27+M28+M30+M31+M32+M33</f>
        <v>78391.080000000016</v>
      </c>
    </row>
    <row r="49" spans="12:13" x14ac:dyDescent="0.2">
      <c r="L49" s="25" t="s">
        <v>91</v>
      </c>
      <c r="M49" s="342">
        <f>M8+M10+M12+M13+M16+M18+M20+M24+M29+M34+M35+M36</f>
        <v>57750.090000000011</v>
      </c>
    </row>
    <row r="50" spans="12:13" x14ac:dyDescent="0.2">
      <c r="M50" s="342">
        <f>M49+M47</f>
        <v>136141.17000000004</v>
      </c>
    </row>
    <row r="52" spans="12:13" x14ac:dyDescent="0.2">
      <c r="L52" s="25" t="s">
        <v>303</v>
      </c>
      <c r="M52" s="342">
        <f>M50-M38</f>
        <v>0</v>
      </c>
    </row>
  </sheetData>
  <autoFilter ref="F1:F52" xr:uid="{00000000-0009-0000-0000-000006000000}"/>
  <mergeCells count="8">
    <mergeCell ref="L44:N44"/>
    <mergeCell ref="E2:K2"/>
    <mergeCell ref="E5:K5"/>
    <mergeCell ref="L5:N5"/>
    <mergeCell ref="D6:K6"/>
    <mergeCell ref="B38:H38"/>
    <mergeCell ref="L43:N43"/>
    <mergeCell ref="C43:D43"/>
  </mergeCells>
  <pageMargins left="0.7" right="0.7" top="0.75" bottom="0.75" header="0.3" footer="0.3"/>
  <pageSetup scale="66" fitToHeight="0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45"/>
  <sheetViews>
    <sheetView showGridLines="0" zoomScale="87" zoomScaleNormal="87" workbookViewId="0">
      <selection activeCell="F8" sqref="F8:F29"/>
    </sheetView>
  </sheetViews>
  <sheetFormatPr baseColWidth="10" defaultColWidth="11.42578125" defaultRowHeight="15" x14ac:dyDescent="0.2"/>
  <cols>
    <col min="1" max="1" width="2.7109375" style="5" customWidth="1"/>
    <col min="2" max="3" width="4.5703125" style="5" customWidth="1"/>
    <col min="4" max="4" width="33.7109375" style="350" customWidth="1"/>
    <col min="5" max="5" width="12.85546875" style="354" customWidth="1"/>
    <col min="6" max="6" width="23.28515625" style="25" customWidth="1"/>
    <col min="7" max="7" width="5.7109375" style="25" customWidth="1"/>
    <col min="8" max="8" width="8.5703125" style="25" customWidth="1"/>
    <col min="9" max="9" width="12.140625" style="25" customWidth="1"/>
    <col min="10" max="10" width="9.140625" style="148" customWidth="1"/>
    <col min="11" max="11" width="9.140625" style="25" customWidth="1"/>
    <col min="12" max="12" width="9.5703125" style="25" bestFit="1" customWidth="1"/>
    <col min="13" max="13" width="12.42578125" style="25" bestFit="1" customWidth="1"/>
    <col min="14" max="14" width="28.42578125" style="25" customWidth="1"/>
    <col min="15" max="16384" width="11.42578125" style="5"/>
  </cols>
  <sheetData>
    <row r="1" spans="1:14" ht="14.25" x14ac:dyDescent="0.2">
      <c r="B1" s="270"/>
      <c r="C1" s="317"/>
      <c r="D1" s="129"/>
      <c r="E1" s="130"/>
      <c r="F1" s="131"/>
      <c r="G1" s="131"/>
      <c r="H1" s="131"/>
      <c r="I1" s="131"/>
      <c r="J1" s="318"/>
      <c r="K1" s="131"/>
      <c r="L1" s="131"/>
      <c r="M1" s="131"/>
      <c r="N1" s="132"/>
    </row>
    <row r="2" spans="1:14" ht="30" customHeight="1" x14ac:dyDescent="0.2">
      <c r="B2" s="319"/>
      <c r="C2" s="320"/>
      <c r="D2" s="77"/>
      <c r="E2" s="387" t="s">
        <v>299</v>
      </c>
      <c r="F2" s="387"/>
      <c r="G2" s="387"/>
      <c r="H2" s="387"/>
      <c r="I2" s="387"/>
      <c r="J2" s="387"/>
      <c r="K2" s="387"/>
      <c r="L2" s="134"/>
      <c r="M2" s="134"/>
      <c r="N2" s="135"/>
    </row>
    <row r="3" spans="1:14" ht="30" customHeight="1" x14ac:dyDescent="0.2">
      <c r="B3" s="319"/>
      <c r="C3" s="320"/>
      <c r="D3" s="77"/>
      <c r="E3" s="136"/>
      <c r="F3" s="134"/>
      <c r="G3" s="134"/>
      <c r="H3" s="134"/>
      <c r="I3" s="134"/>
      <c r="J3" s="321"/>
      <c r="K3" s="134"/>
      <c r="L3" s="134"/>
      <c r="M3" s="134"/>
      <c r="N3" s="135"/>
    </row>
    <row r="4" spans="1:14" ht="30" customHeight="1" x14ac:dyDescent="0.2">
      <c r="B4" s="319"/>
      <c r="C4" s="320"/>
      <c r="D4" s="77"/>
      <c r="E4" s="387" t="s">
        <v>430</v>
      </c>
      <c r="F4" s="387"/>
      <c r="G4" s="387"/>
      <c r="H4" s="387"/>
      <c r="I4" s="387"/>
      <c r="J4" s="387"/>
      <c r="K4" s="387"/>
      <c r="L4" s="134"/>
      <c r="M4" s="134"/>
      <c r="N4" s="135"/>
    </row>
    <row r="5" spans="1:14" ht="31.5" customHeight="1" x14ac:dyDescent="0.2">
      <c r="B5" s="137"/>
      <c r="C5" s="39"/>
      <c r="D5" s="77"/>
      <c r="E5" s="357" t="s">
        <v>491</v>
      </c>
      <c r="F5" s="356"/>
      <c r="G5" s="356"/>
      <c r="H5" s="356"/>
      <c r="I5" s="356"/>
      <c r="J5" s="356"/>
      <c r="K5" s="356"/>
      <c r="L5" s="389"/>
      <c r="M5" s="389"/>
      <c r="N5" s="390"/>
    </row>
    <row r="6" spans="1:14" ht="30" customHeight="1" thickBot="1" x14ac:dyDescent="0.25">
      <c r="B6" s="138"/>
      <c r="C6" s="47"/>
      <c r="D6" s="463" t="s">
        <v>431</v>
      </c>
      <c r="E6" s="463"/>
      <c r="F6" s="463"/>
      <c r="G6" s="463"/>
      <c r="H6" s="463"/>
      <c r="I6" s="463"/>
      <c r="J6" s="463"/>
      <c r="K6" s="139"/>
      <c r="L6" s="139"/>
      <c r="M6" s="139"/>
      <c r="N6" s="140"/>
    </row>
    <row r="7" spans="1:14" ht="41.25" customHeight="1" x14ac:dyDescent="0.2">
      <c r="B7" s="103" t="s">
        <v>292</v>
      </c>
      <c r="C7" s="207" t="s">
        <v>353</v>
      </c>
      <c r="D7" s="104" t="s">
        <v>14</v>
      </c>
      <c r="E7" s="104" t="s">
        <v>286</v>
      </c>
      <c r="F7" s="104" t="s">
        <v>287</v>
      </c>
      <c r="G7" s="104" t="s">
        <v>290</v>
      </c>
      <c r="H7" s="104" t="s">
        <v>291</v>
      </c>
      <c r="I7" s="105" t="s">
        <v>288</v>
      </c>
      <c r="J7" s="322" t="s">
        <v>304</v>
      </c>
      <c r="K7" s="104" t="s">
        <v>305</v>
      </c>
      <c r="L7" s="106" t="s">
        <v>289</v>
      </c>
      <c r="M7" s="106" t="s">
        <v>298</v>
      </c>
      <c r="N7" s="121" t="s">
        <v>297</v>
      </c>
    </row>
    <row r="8" spans="1:14" s="29" customFormat="1" ht="30" customHeight="1" x14ac:dyDescent="0.2">
      <c r="A8" s="5"/>
      <c r="B8" s="323">
        <v>1</v>
      </c>
      <c r="C8" s="324"/>
      <c r="D8" s="254" t="s">
        <v>432</v>
      </c>
      <c r="E8" s="343" t="s">
        <v>35</v>
      </c>
      <c r="F8" s="38"/>
      <c r="G8" s="245">
        <v>15</v>
      </c>
      <c r="H8" s="344">
        <v>550</v>
      </c>
      <c r="I8" s="345">
        <f t="shared" ref="I8:I29" si="0">ROUND(G8*H8,2)</f>
        <v>8250</v>
      </c>
      <c r="J8" s="346">
        <v>0</v>
      </c>
      <c r="K8" s="344">
        <f t="shared" ref="K8:K29" si="1">IF(H8&lt;=248.93,0,(IFERROR(IF(ROUND((((I8/G8*30.4)-VLOOKUP((I8/G8*30.4),TARIFA,1))*VLOOKUP((I8/G8*30.4),TARIFA,3)+VLOOKUP((I8/G8*30.4),TARIFA,2)-VLOOKUP((I8/G8*30.4),SUBSIDIO,2))/30.4*G8,2)&gt;0,ROUND((((I8/G8*30.4)-VLOOKUP((I8/G8*30.4),TARIFA,1))*VLOOKUP((I8/G8*30.4),TARIFA,3)+VLOOKUP((I8/G8*30.4),TARIFA,2)-VLOOKUP((I8/G8*30.4),SUBSIDIO,2))/30.4*G8,2),0),0)))</f>
        <v>939.18</v>
      </c>
      <c r="L8" s="344">
        <f>K8</f>
        <v>939.18</v>
      </c>
      <c r="M8" s="344">
        <f>I8+J8-K8</f>
        <v>7310.82</v>
      </c>
      <c r="N8" s="347"/>
    </row>
    <row r="9" spans="1:14" s="29" customFormat="1" ht="30" customHeight="1" x14ac:dyDescent="0.2">
      <c r="A9" s="5"/>
      <c r="B9" s="323">
        <v>2</v>
      </c>
      <c r="C9" s="324" t="s">
        <v>353</v>
      </c>
      <c r="D9" s="254" t="s">
        <v>433</v>
      </c>
      <c r="E9" s="254" t="s">
        <v>434</v>
      </c>
      <c r="F9" s="245"/>
      <c r="G9" s="245">
        <v>15</v>
      </c>
      <c r="H9" s="344">
        <v>381.6</v>
      </c>
      <c r="I9" s="345">
        <f t="shared" si="0"/>
        <v>5724</v>
      </c>
      <c r="J9" s="346">
        <v>0</v>
      </c>
      <c r="K9" s="344">
        <f t="shared" si="1"/>
        <v>478.25</v>
      </c>
      <c r="L9" s="344">
        <f t="shared" ref="L9:L27" si="2">K9</f>
        <v>478.25</v>
      </c>
      <c r="M9" s="344">
        <f t="shared" ref="M9:M27" si="3">I9+J9-K9</f>
        <v>5245.75</v>
      </c>
      <c r="N9" s="347"/>
    </row>
    <row r="10" spans="1:14" s="29" customFormat="1" ht="30" customHeight="1" x14ac:dyDescent="0.2">
      <c r="A10" s="5"/>
      <c r="B10" s="323">
        <v>3</v>
      </c>
      <c r="C10" s="324" t="s">
        <v>353</v>
      </c>
      <c r="D10" s="254" t="s">
        <v>435</v>
      </c>
      <c r="E10" s="254" t="s">
        <v>434</v>
      </c>
      <c r="F10" s="38"/>
      <c r="G10" s="245">
        <v>15</v>
      </c>
      <c r="H10" s="344">
        <v>381.6</v>
      </c>
      <c r="I10" s="345">
        <f t="shared" si="0"/>
        <v>5724</v>
      </c>
      <c r="J10" s="346">
        <v>0</v>
      </c>
      <c r="K10" s="344">
        <f t="shared" si="1"/>
        <v>478.25</v>
      </c>
      <c r="L10" s="344">
        <f t="shared" si="2"/>
        <v>478.25</v>
      </c>
      <c r="M10" s="344">
        <f t="shared" si="3"/>
        <v>5245.75</v>
      </c>
      <c r="N10" s="347"/>
    </row>
    <row r="11" spans="1:14" s="29" customFormat="1" ht="30" customHeight="1" x14ac:dyDescent="0.2">
      <c r="A11" s="5"/>
      <c r="B11" s="323">
        <v>4</v>
      </c>
      <c r="C11" s="324" t="s">
        <v>353</v>
      </c>
      <c r="D11" s="254" t="s">
        <v>436</v>
      </c>
      <c r="E11" s="254" t="s">
        <v>40</v>
      </c>
      <c r="F11" s="38"/>
      <c r="G11" s="245">
        <v>15</v>
      </c>
      <c r="H11" s="344">
        <v>360.8664</v>
      </c>
      <c r="I11" s="345">
        <f>ROUND(G11*H11,2)</f>
        <v>5413</v>
      </c>
      <c r="J11" s="346">
        <v>0</v>
      </c>
      <c r="K11" s="344">
        <f t="shared" si="1"/>
        <v>432.47</v>
      </c>
      <c r="L11" s="344">
        <f>K11</f>
        <v>432.47</v>
      </c>
      <c r="M11" s="344">
        <f>I11+J11-K11</f>
        <v>4980.53</v>
      </c>
      <c r="N11" s="347"/>
    </row>
    <row r="12" spans="1:14" s="29" customFormat="1" ht="30" customHeight="1" x14ac:dyDescent="0.2">
      <c r="A12" s="5"/>
      <c r="B12" s="323">
        <v>5</v>
      </c>
      <c r="C12" s="324"/>
      <c r="D12" s="254" t="s">
        <v>472</v>
      </c>
      <c r="E12" s="254" t="s">
        <v>469</v>
      </c>
      <c r="F12" s="38"/>
      <c r="G12" s="245">
        <v>15</v>
      </c>
      <c r="H12" s="344">
        <v>360.8664</v>
      </c>
      <c r="I12" s="345">
        <f>ROUND(G12*H12,2)</f>
        <v>5413</v>
      </c>
      <c r="J12" s="346">
        <v>0</v>
      </c>
      <c r="K12" s="344">
        <f t="shared" ref="K12" si="4">IF(H12&lt;=248.93,0,(IFERROR(IF(ROUND((((I12/G12*30.4)-VLOOKUP((I12/G12*30.4),TARIFA,1))*VLOOKUP((I12/G12*30.4),TARIFA,3)+VLOOKUP((I12/G12*30.4),TARIFA,2)-VLOOKUP((I12/G12*30.4),SUBSIDIO,2))/30.4*G12,2)&gt;0,ROUND((((I12/G12*30.4)-VLOOKUP((I12/G12*30.4),TARIFA,1))*VLOOKUP((I12/G12*30.4),TARIFA,3)+VLOOKUP((I12/G12*30.4),TARIFA,2)-VLOOKUP((I12/G12*30.4),SUBSIDIO,2))/30.4*G12,2),0),0)))</f>
        <v>432.47</v>
      </c>
      <c r="L12" s="344">
        <f>K12</f>
        <v>432.47</v>
      </c>
      <c r="M12" s="344">
        <f>I12+J12-K12</f>
        <v>4980.53</v>
      </c>
      <c r="N12" s="347"/>
    </row>
    <row r="13" spans="1:14" s="29" customFormat="1" ht="30" customHeight="1" x14ac:dyDescent="0.2">
      <c r="A13" s="5"/>
      <c r="B13" s="323">
        <v>6</v>
      </c>
      <c r="C13" s="324"/>
      <c r="D13" s="254" t="s">
        <v>437</v>
      </c>
      <c r="E13" s="254" t="s">
        <v>438</v>
      </c>
      <c r="F13" s="38"/>
      <c r="G13" s="245">
        <v>15</v>
      </c>
      <c r="H13" s="344">
        <v>360.8664</v>
      </c>
      <c r="I13" s="345">
        <f t="shared" si="0"/>
        <v>5413</v>
      </c>
      <c r="J13" s="346">
        <f t="shared" ref="J13:J27" si="5">IFERROR(IF(ROUND((((I13/G13*30.4)-VLOOKUP((I13/G13*30.4),TARIFA,1))*VLOOKUP((I13/G13*30.4),TARIFA,3)+VLOOKUP((I13/G13*30.4),TARIFA,2)-VLOOKUP((I13/G13*30.4),SUBSIDIO,2))/30.4*G13,2)&lt;0,ROUND(-(((I13/G13*30.4)-VLOOKUP((I13/G13*30.4),TARIFA,1))*VLOOKUP((I13/G13*30.4),TARIFA,3)+VLOOKUP((I13/G13*30.4),TARIFA,2)-VLOOKUP((I13/G13*30.4),SUBSIDIO,2))/30.4*G13,2),0),0)</f>
        <v>0</v>
      </c>
      <c r="K13" s="344">
        <f t="shared" si="1"/>
        <v>432.47</v>
      </c>
      <c r="L13" s="344">
        <f t="shared" si="2"/>
        <v>432.47</v>
      </c>
      <c r="M13" s="344">
        <f t="shared" si="3"/>
        <v>4980.53</v>
      </c>
      <c r="N13" s="347"/>
    </row>
    <row r="14" spans="1:14" ht="30" customHeight="1" x14ac:dyDescent="0.2">
      <c r="B14" s="323">
        <v>7</v>
      </c>
      <c r="C14" s="324" t="s">
        <v>353</v>
      </c>
      <c r="D14" s="254" t="s">
        <v>439</v>
      </c>
      <c r="E14" s="254" t="s">
        <v>438</v>
      </c>
      <c r="F14" s="38"/>
      <c r="G14" s="245">
        <v>15</v>
      </c>
      <c r="H14" s="344">
        <v>360.8664</v>
      </c>
      <c r="I14" s="345">
        <f t="shared" si="0"/>
        <v>5413</v>
      </c>
      <c r="J14" s="346">
        <f t="shared" si="5"/>
        <v>0</v>
      </c>
      <c r="K14" s="344">
        <f t="shared" si="1"/>
        <v>432.47</v>
      </c>
      <c r="L14" s="344">
        <f t="shared" si="2"/>
        <v>432.47</v>
      </c>
      <c r="M14" s="344">
        <f t="shared" si="3"/>
        <v>4980.53</v>
      </c>
      <c r="N14" s="347"/>
    </row>
    <row r="15" spans="1:14" ht="30" customHeight="1" x14ac:dyDescent="0.2">
      <c r="B15" s="323">
        <v>8</v>
      </c>
      <c r="C15" s="324" t="s">
        <v>353</v>
      </c>
      <c r="D15" s="254" t="s">
        <v>440</v>
      </c>
      <c r="E15" s="254" t="s">
        <v>438</v>
      </c>
      <c r="F15" s="38"/>
      <c r="G15" s="245">
        <v>15</v>
      </c>
      <c r="H15" s="344">
        <v>360.8664</v>
      </c>
      <c r="I15" s="345">
        <f t="shared" si="0"/>
        <v>5413</v>
      </c>
      <c r="J15" s="346">
        <f t="shared" si="5"/>
        <v>0</v>
      </c>
      <c r="K15" s="344">
        <f t="shared" si="1"/>
        <v>432.47</v>
      </c>
      <c r="L15" s="344">
        <f t="shared" si="2"/>
        <v>432.47</v>
      </c>
      <c r="M15" s="344">
        <f t="shared" si="3"/>
        <v>4980.53</v>
      </c>
      <c r="N15" s="347"/>
    </row>
    <row r="16" spans="1:14" ht="30" customHeight="1" x14ac:dyDescent="0.2">
      <c r="B16" s="323">
        <v>9</v>
      </c>
      <c r="C16" s="324"/>
      <c r="D16" s="254" t="s">
        <v>441</v>
      </c>
      <c r="E16" s="254" t="s">
        <v>438</v>
      </c>
      <c r="F16" s="245"/>
      <c r="G16" s="245">
        <v>15</v>
      </c>
      <c r="H16" s="344">
        <v>360.8664</v>
      </c>
      <c r="I16" s="345">
        <f t="shared" si="0"/>
        <v>5413</v>
      </c>
      <c r="J16" s="346">
        <f t="shared" si="5"/>
        <v>0</v>
      </c>
      <c r="K16" s="344">
        <f t="shared" si="1"/>
        <v>432.47</v>
      </c>
      <c r="L16" s="344">
        <f t="shared" si="2"/>
        <v>432.47</v>
      </c>
      <c r="M16" s="344">
        <f t="shared" si="3"/>
        <v>4980.53</v>
      </c>
      <c r="N16" s="347"/>
    </row>
    <row r="17" spans="1:14" ht="30" customHeight="1" x14ac:dyDescent="0.2">
      <c r="B17" s="323">
        <v>10</v>
      </c>
      <c r="C17" s="324" t="s">
        <v>353</v>
      </c>
      <c r="D17" s="254" t="s">
        <v>442</v>
      </c>
      <c r="E17" s="254" t="s">
        <v>438</v>
      </c>
      <c r="F17" s="38"/>
      <c r="G17" s="245">
        <v>15</v>
      </c>
      <c r="H17" s="344">
        <v>360.8664</v>
      </c>
      <c r="I17" s="345">
        <f t="shared" si="0"/>
        <v>5413</v>
      </c>
      <c r="J17" s="346">
        <f t="shared" si="5"/>
        <v>0</v>
      </c>
      <c r="K17" s="344">
        <f t="shared" si="1"/>
        <v>432.47</v>
      </c>
      <c r="L17" s="344">
        <f t="shared" si="2"/>
        <v>432.47</v>
      </c>
      <c r="M17" s="344">
        <f t="shared" si="3"/>
        <v>4980.53</v>
      </c>
      <c r="N17" s="347"/>
    </row>
    <row r="18" spans="1:14" ht="30" customHeight="1" x14ac:dyDescent="0.2">
      <c r="B18" s="323">
        <v>11</v>
      </c>
      <c r="C18" s="324"/>
      <c r="D18" s="254" t="s">
        <v>443</v>
      </c>
      <c r="E18" s="254" t="s">
        <v>438</v>
      </c>
      <c r="F18" s="38"/>
      <c r="G18" s="245">
        <v>15</v>
      </c>
      <c r="H18" s="344">
        <v>360.8664</v>
      </c>
      <c r="I18" s="345">
        <f>ROUND(G18*H18,2)</f>
        <v>5413</v>
      </c>
      <c r="J18" s="346">
        <f t="shared" si="5"/>
        <v>0</v>
      </c>
      <c r="K18" s="344">
        <f t="shared" si="1"/>
        <v>432.47</v>
      </c>
      <c r="L18" s="344">
        <f t="shared" si="2"/>
        <v>432.47</v>
      </c>
      <c r="M18" s="344">
        <f t="shared" si="3"/>
        <v>4980.53</v>
      </c>
      <c r="N18" s="347"/>
    </row>
    <row r="19" spans="1:14" ht="30" customHeight="1" x14ac:dyDescent="0.2">
      <c r="B19" s="323">
        <v>12</v>
      </c>
      <c r="C19" s="324"/>
      <c r="D19" s="254" t="s">
        <v>444</v>
      </c>
      <c r="E19" s="254" t="s">
        <v>438</v>
      </c>
      <c r="F19" s="38"/>
      <c r="G19" s="245">
        <v>15</v>
      </c>
      <c r="H19" s="344">
        <v>360.8664</v>
      </c>
      <c r="I19" s="345">
        <f t="shared" si="0"/>
        <v>5413</v>
      </c>
      <c r="J19" s="346">
        <f t="shared" si="5"/>
        <v>0</v>
      </c>
      <c r="K19" s="344">
        <f t="shared" si="1"/>
        <v>432.47</v>
      </c>
      <c r="L19" s="344">
        <f t="shared" si="2"/>
        <v>432.47</v>
      </c>
      <c r="M19" s="344">
        <f>I19+J19-K19</f>
        <v>4980.53</v>
      </c>
      <c r="N19" s="347"/>
    </row>
    <row r="20" spans="1:14" ht="30" customHeight="1" x14ac:dyDescent="0.2">
      <c r="B20" s="323">
        <v>13</v>
      </c>
      <c r="C20" s="324" t="s">
        <v>353</v>
      </c>
      <c r="D20" s="254" t="s">
        <v>445</v>
      </c>
      <c r="E20" s="254" t="s">
        <v>438</v>
      </c>
      <c r="F20" s="38"/>
      <c r="G20" s="245">
        <v>15</v>
      </c>
      <c r="H20" s="344">
        <v>360.8664</v>
      </c>
      <c r="I20" s="345">
        <f t="shared" si="0"/>
        <v>5413</v>
      </c>
      <c r="J20" s="346">
        <f t="shared" si="5"/>
        <v>0</v>
      </c>
      <c r="K20" s="344">
        <f t="shared" si="1"/>
        <v>432.47</v>
      </c>
      <c r="L20" s="344">
        <f t="shared" si="2"/>
        <v>432.47</v>
      </c>
      <c r="M20" s="344">
        <f t="shared" si="3"/>
        <v>4980.53</v>
      </c>
      <c r="N20" s="347"/>
    </row>
    <row r="21" spans="1:14" ht="30" customHeight="1" x14ac:dyDescent="0.2">
      <c r="B21" s="323">
        <v>14</v>
      </c>
      <c r="C21" s="324" t="s">
        <v>353</v>
      </c>
      <c r="D21" s="256" t="s">
        <v>446</v>
      </c>
      <c r="E21" s="254" t="s">
        <v>447</v>
      </c>
      <c r="F21" s="38"/>
      <c r="G21" s="245">
        <v>15</v>
      </c>
      <c r="H21" s="344">
        <v>395.53300000000002</v>
      </c>
      <c r="I21" s="345">
        <f t="shared" si="0"/>
        <v>5933</v>
      </c>
      <c r="J21" s="346">
        <f t="shared" si="5"/>
        <v>0</v>
      </c>
      <c r="K21" s="344">
        <f t="shared" si="1"/>
        <v>511.69</v>
      </c>
      <c r="L21" s="344">
        <f t="shared" si="2"/>
        <v>511.69</v>
      </c>
      <c r="M21" s="344">
        <f t="shared" si="3"/>
        <v>5421.31</v>
      </c>
      <c r="N21" s="347"/>
    </row>
    <row r="22" spans="1:14" ht="30" customHeight="1" x14ac:dyDescent="0.2">
      <c r="B22" s="323">
        <v>15</v>
      </c>
      <c r="C22" s="324" t="s">
        <v>353</v>
      </c>
      <c r="D22" s="256" t="s">
        <v>463</v>
      </c>
      <c r="E22" s="254" t="s">
        <v>438</v>
      </c>
      <c r="F22" s="38"/>
      <c r="G22" s="245">
        <v>15</v>
      </c>
      <c r="H22" s="344">
        <v>360.8664</v>
      </c>
      <c r="I22" s="345">
        <f t="shared" si="0"/>
        <v>5413</v>
      </c>
      <c r="J22" s="346">
        <f t="shared" si="5"/>
        <v>0</v>
      </c>
      <c r="K22" s="344">
        <f t="shared" si="1"/>
        <v>432.47</v>
      </c>
      <c r="L22" s="344">
        <f t="shared" si="2"/>
        <v>432.47</v>
      </c>
      <c r="M22" s="344">
        <f t="shared" si="3"/>
        <v>4980.53</v>
      </c>
      <c r="N22" s="347"/>
    </row>
    <row r="23" spans="1:14" ht="30" customHeight="1" x14ac:dyDescent="0.2">
      <c r="B23" s="323">
        <v>16</v>
      </c>
      <c r="C23" s="324"/>
      <c r="D23" s="256" t="s">
        <v>448</v>
      </c>
      <c r="E23" s="254" t="s">
        <v>438</v>
      </c>
      <c r="F23" s="38"/>
      <c r="G23" s="245">
        <v>15</v>
      </c>
      <c r="H23" s="344">
        <v>360.8664</v>
      </c>
      <c r="I23" s="345">
        <f t="shared" si="0"/>
        <v>5413</v>
      </c>
      <c r="J23" s="346">
        <f t="shared" si="5"/>
        <v>0</v>
      </c>
      <c r="K23" s="344">
        <f t="shared" si="1"/>
        <v>432.47</v>
      </c>
      <c r="L23" s="344">
        <f t="shared" si="2"/>
        <v>432.47</v>
      </c>
      <c r="M23" s="344">
        <f t="shared" si="3"/>
        <v>4980.53</v>
      </c>
      <c r="N23" s="347"/>
    </row>
    <row r="24" spans="1:14" ht="30" customHeight="1" x14ac:dyDescent="0.2">
      <c r="B24" s="323">
        <v>17</v>
      </c>
      <c r="C24" s="324"/>
      <c r="D24" s="256" t="s">
        <v>449</v>
      </c>
      <c r="E24" s="254" t="s">
        <v>438</v>
      </c>
      <c r="F24" s="38"/>
      <c r="G24" s="245">
        <v>15</v>
      </c>
      <c r="H24" s="344">
        <v>360.8664</v>
      </c>
      <c r="I24" s="345">
        <f t="shared" si="0"/>
        <v>5413</v>
      </c>
      <c r="J24" s="346">
        <f t="shared" si="5"/>
        <v>0</v>
      </c>
      <c r="K24" s="344">
        <f t="shared" si="1"/>
        <v>432.47</v>
      </c>
      <c r="L24" s="344">
        <f t="shared" si="2"/>
        <v>432.47</v>
      </c>
      <c r="M24" s="344">
        <f>I24+J24-K24</f>
        <v>4980.53</v>
      </c>
      <c r="N24" s="347"/>
    </row>
    <row r="25" spans="1:14" ht="36.6" customHeight="1" x14ac:dyDescent="0.2">
      <c r="B25" s="323">
        <v>18</v>
      </c>
      <c r="C25" s="324"/>
      <c r="D25" s="256" t="s">
        <v>450</v>
      </c>
      <c r="E25" s="254" t="s">
        <v>438</v>
      </c>
      <c r="F25" s="38"/>
      <c r="G25" s="245">
        <v>15</v>
      </c>
      <c r="H25" s="344">
        <v>340</v>
      </c>
      <c r="I25" s="345">
        <f t="shared" si="0"/>
        <v>5100</v>
      </c>
      <c r="J25" s="346">
        <v>0</v>
      </c>
      <c r="K25" s="344">
        <f t="shared" si="1"/>
        <v>398.42</v>
      </c>
      <c r="L25" s="344">
        <v>377.09</v>
      </c>
      <c r="M25" s="344">
        <v>4526.91</v>
      </c>
      <c r="N25" s="347"/>
    </row>
    <row r="26" spans="1:14" ht="30" customHeight="1" x14ac:dyDescent="0.2">
      <c r="B26" s="323">
        <v>19</v>
      </c>
      <c r="C26" s="324"/>
      <c r="D26" s="256" t="s">
        <v>451</v>
      </c>
      <c r="E26" s="254" t="s">
        <v>452</v>
      </c>
      <c r="F26" s="38"/>
      <c r="G26" s="245">
        <v>15</v>
      </c>
      <c r="H26" s="344">
        <v>340</v>
      </c>
      <c r="I26" s="345">
        <f t="shared" si="0"/>
        <v>5100</v>
      </c>
      <c r="J26" s="346">
        <f t="shared" si="5"/>
        <v>0</v>
      </c>
      <c r="K26" s="344">
        <f t="shared" si="1"/>
        <v>398.42</v>
      </c>
      <c r="L26" s="344">
        <f t="shared" si="2"/>
        <v>398.42</v>
      </c>
      <c r="M26" s="344">
        <f t="shared" si="3"/>
        <v>4701.58</v>
      </c>
      <c r="N26" s="347"/>
    </row>
    <row r="27" spans="1:14" ht="29.45" customHeight="1" x14ac:dyDescent="0.2">
      <c r="B27" s="323">
        <v>20</v>
      </c>
      <c r="C27" s="324"/>
      <c r="D27" s="256" t="s">
        <v>453</v>
      </c>
      <c r="E27" s="254" t="s">
        <v>452</v>
      </c>
      <c r="F27" s="38"/>
      <c r="G27" s="245">
        <v>15</v>
      </c>
      <c r="H27" s="344">
        <v>340</v>
      </c>
      <c r="I27" s="345">
        <f t="shared" si="0"/>
        <v>5100</v>
      </c>
      <c r="J27" s="346">
        <f t="shared" si="5"/>
        <v>0</v>
      </c>
      <c r="K27" s="344">
        <f t="shared" si="1"/>
        <v>398.42</v>
      </c>
      <c r="L27" s="344">
        <f t="shared" si="2"/>
        <v>398.42</v>
      </c>
      <c r="M27" s="344">
        <f t="shared" si="3"/>
        <v>4701.58</v>
      </c>
      <c r="N27" s="347"/>
    </row>
    <row r="28" spans="1:14" ht="29.45" customHeight="1" x14ac:dyDescent="0.2">
      <c r="B28" s="323">
        <v>21</v>
      </c>
      <c r="C28" s="324" t="s">
        <v>353</v>
      </c>
      <c r="D28" s="256" t="s">
        <v>454</v>
      </c>
      <c r="E28" s="254" t="s">
        <v>452</v>
      </c>
      <c r="F28" s="38"/>
      <c r="G28" s="245">
        <v>15</v>
      </c>
      <c r="H28" s="344">
        <v>340</v>
      </c>
      <c r="I28" s="345">
        <f t="shared" si="0"/>
        <v>5100</v>
      </c>
      <c r="J28" s="346">
        <v>0</v>
      </c>
      <c r="K28" s="344">
        <f t="shared" si="1"/>
        <v>398.42</v>
      </c>
      <c r="L28" s="344">
        <f>K28</f>
        <v>398.42</v>
      </c>
      <c r="M28" s="344">
        <f>I28+J28-K28</f>
        <v>4701.58</v>
      </c>
      <c r="N28" s="347"/>
    </row>
    <row r="29" spans="1:14" ht="29.45" customHeight="1" x14ac:dyDescent="0.2">
      <c r="B29" s="323">
        <v>22</v>
      </c>
      <c r="C29" s="324" t="s">
        <v>353</v>
      </c>
      <c r="D29" s="256" t="s">
        <v>455</v>
      </c>
      <c r="E29" s="254" t="s">
        <v>452</v>
      </c>
      <c r="F29" s="38"/>
      <c r="G29" s="245">
        <v>15</v>
      </c>
      <c r="H29" s="344">
        <v>340</v>
      </c>
      <c r="I29" s="345">
        <f t="shared" si="0"/>
        <v>5100</v>
      </c>
      <c r="J29" s="346">
        <v>0</v>
      </c>
      <c r="K29" s="344">
        <f t="shared" si="1"/>
        <v>398.42</v>
      </c>
      <c r="L29" s="344">
        <f>K29</f>
        <v>398.42</v>
      </c>
      <c r="M29" s="344">
        <f>I29+J29-K29</f>
        <v>4701.58</v>
      </c>
      <c r="N29" s="347"/>
    </row>
    <row r="30" spans="1:14" ht="18" customHeight="1" x14ac:dyDescent="0.2">
      <c r="B30" s="464"/>
      <c r="C30" s="465"/>
      <c r="D30" s="465"/>
      <c r="E30" s="465"/>
      <c r="F30" s="465"/>
      <c r="G30" s="465"/>
      <c r="H30" s="465"/>
      <c r="I30" s="465"/>
      <c r="J30" s="465"/>
      <c r="K30" s="465"/>
      <c r="L30" s="465"/>
      <c r="M30" s="465"/>
      <c r="N30" s="466"/>
    </row>
    <row r="31" spans="1:14" ht="18" customHeight="1" x14ac:dyDescent="0.2">
      <c r="B31" s="461" t="s">
        <v>17</v>
      </c>
      <c r="C31" s="431"/>
      <c r="D31" s="437"/>
      <c r="E31" s="437"/>
      <c r="F31" s="437"/>
      <c r="G31" s="437"/>
      <c r="H31" s="437"/>
      <c r="I31" s="348">
        <f>SUM(I8:I29)</f>
        <v>121500</v>
      </c>
      <c r="J31" s="348">
        <f t="shared" ref="J31:K31" si="6">SUM(J8:J29)</f>
        <v>0</v>
      </c>
      <c r="K31" s="348">
        <f t="shared" si="6"/>
        <v>10021.580000000002</v>
      </c>
      <c r="L31" s="348">
        <f>SUM(L8:L29)</f>
        <v>10000.250000000002</v>
      </c>
      <c r="M31" s="348">
        <f>SUM(M8:M29)</f>
        <v>111303.75</v>
      </c>
      <c r="N31" s="349"/>
    </row>
    <row r="32" spans="1:14" ht="18" customHeight="1" x14ac:dyDescent="0.2">
      <c r="A32" s="5" t="s">
        <v>456</v>
      </c>
      <c r="B32" s="319"/>
      <c r="C32" s="320"/>
      <c r="E32" s="332"/>
      <c r="F32" s="134"/>
      <c r="G32" s="134"/>
      <c r="H32" s="134"/>
      <c r="I32" s="134"/>
      <c r="J32" s="321"/>
      <c r="K32" s="134"/>
      <c r="L32" s="134"/>
      <c r="M32" s="134"/>
      <c r="N32" s="351"/>
    </row>
    <row r="33" spans="1:14" ht="12" customHeight="1" x14ac:dyDescent="0.2">
      <c r="A33" s="5" t="s">
        <v>28</v>
      </c>
      <c r="B33" s="319"/>
      <c r="C33" s="320"/>
      <c r="E33" s="332"/>
      <c r="F33" s="134"/>
      <c r="G33" s="134"/>
      <c r="H33" s="134"/>
      <c r="I33" s="134"/>
      <c r="J33" s="321"/>
      <c r="K33" s="134"/>
      <c r="L33" s="134"/>
      <c r="M33" s="352"/>
      <c r="N33" s="353"/>
    </row>
    <row r="34" spans="1:14" x14ac:dyDescent="0.2">
      <c r="B34" s="91"/>
      <c r="N34" s="355"/>
    </row>
    <row r="35" spans="1:14" x14ac:dyDescent="0.2">
      <c r="B35" s="91"/>
      <c r="N35" s="126"/>
    </row>
    <row r="36" spans="1:14" x14ac:dyDescent="0.2">
      <c r="B36" s="91"/>
      <c r="N36" s="126"/>
    </row>
    <row r="37" spans="1:14" ht="13.5" x14ac:dyDescent="0.2">
      <c r="B37" s="91"/>
      <c r="D37" s="367" t="s">
        <v>487</v>
      </c>
      <c r="E37" s="5"/>
      <c r="F37" s="5"/>
      <c r="G37" s="5"/>
      <c r="H37" s="5"/>
      <c r="I37" s="32"/>
      <c r="J37" s="32"/>
      <c r="K37" s="5"/>
      <c r="L37" s="386" t="s">
        <v>294</v>
      </c>
      <c r="M37" s="386"/>
      <c r="N37" s="460"/>
    </row>
    <row r="38" spans="1:14" ht="13.5" thickBot="1" x14ac:dyDescent="0.25">
      <c r="B38" s="92"/>
      <c r="C38" s="93"/>
      <c r="D38" s="462" t="s">
        <v>127</v>
      </c>
      <c r="E38" s="462"/>
      <c r="F38" s="93"/>
      <c r="G38" s="93"/>
      <c r="H38" s="93"/>
      <c r="I38" s="94"/>
      <c r="J38" s="94"/>
      <c r="K38" s="93"/>
      <c r="L38" s="407" t="s">
        <v>295</v>
      </c>
      <c r="M38" s="407"/>
      <c r="N38" s="408"/>
    </row>
    <row r="40" spans="1:14" x14ac:dyDescent="0.2">
      <c r="L40" s="25" t="s">
        <v>90</v>
      </c>
      <c r="M40" s="147">
        <f>M9+M10+M11+M14+M15+M17+M20+M21+M22+M28+M29+M8+M12+M13+M16+M18+M19+M23+M24+M25+M26+M27</f>
        <v>111303.75</v>
      </c>
    </row>
    <row r="42" spans="1:14" x14ac:dyDescent="0.2">
      <c r="L42" s="25" t="s">
        <v>91</v>
      </c>
      <c r="M42" s="147"/>
    </row>
    <row r="43" spans="1:14" x14ac:dyDescent="0.2">
      <c r="M43" s="147">
        <f>M40+M42</f>
        <v>111303.75</v>
      </c>
    </row>
    <row r="45" spans="1:14" x14ac:dyDescent="0.2">
      <c r="L45" s="25" t="s">
        <v>303</v>
      </c>
      <c r="M45" s="148">
        <f>M31-M43</f>
        <v>0</v>
      </c>
    </row>
  </sheetData>
  <mergeCells count="9">
    <mergeCell ref="B31:H31"/>
    <mergeCell ref="L37:N37"/>
    <mergeCell ref="D38:E38"/>
    <mergeCell ref="L38:N38"/>
    <mergeCell ref="E2:K2"/>
    <mergeCell ref="E4:K4"/>
    <mergeCell ref="L5:N5"/>
    <mergeCell ref="D6:J6"/>
    <mergeCell ref="B30:N30"/>
  </mergeCells>
  <printOptions horizontalCentered="1"/>
  <pageMargins left="0.7" right="0.7" top="0.75" bottom="0.75" header="0.3" footer="0.3"/>
  <pageSetup scale="71" fitToHeight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11</vt:i4>
      </vt:variant>
    </vt:vector>
  </HeadingPairs>
  <TitlesOfParts>
    <vt:vector size="19" baseType="lpstr">
      <vt:lpstr>tarifa</vt:lpstr>
      <vt:lpstr>REGIDORES</vt:lpstr>
      <vt:lpstr>BASE</vt:lpstr>
      <vt:lpstr>EVENTUALES</vt:lpstr>
      <vt:lpstr>PENSIONADOS</vt:lpstr>
      <vt:lpstr>Apoyos </vt:lpstr>
      <vt:lpstr>SEG. PUBLICA</vt:lpstr>
      <vt:lpstr>PROT.CIVIL</vt:lpstr>
      <vt:lpstr>'Apoyos '!Área_de_impresión</vt:lpstr>
      <vt:lpstr>BASE!Área_de_impresión</vt:lpstr>
      <vt:lpstr>PENSIONADOS!Área_de_impresión</vt:lpstr>
      <vt:lpstr>PROT.CIVIL!Área_de_impresión</vt:lpstr>
      <vt:lpstr>REGIDORES!Área_de_impresión</vt:lpstr>
      <vt:lpstr>'SEG. PUBLICA'!Área_de_impresión</vt:lpstr>
      <vt:lpstr>SUBSIDIO</vt:lpstr>
      <vt:lpstr>TARIFA</vt:lpstr>
      <vt:lpstr>BASE!Títulos_a_imprimir</vt:lpstr>
      <vt:lpstr>EVENTUALES!Títulos_a_imprimir</vt:lpstr>
      <vt:lpstr>'SEG. PUBLICA'!Títulos_a_imprimir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AVILA HERNANDEZ, ERNESTO</cp:lastModifiedBy>
  <cp:lastPrinted>2024-03-14T20:30:53Z</cp:lastPrinted>
  <dcterms:created xsi:type="dcterms:W3CDTF">2000-05-05T04:08:27Z</dcterms:created>
  <dcterms:modified xsi:type="dcterms:W3CDTF">2024-05-27T17:33:17Z</dcterms:modified>
</cp:coreProperties>
</file>